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46" windowWidth="25320" windowHeight="13560" tabRatio="863" activeTab="0"/>
  </bookViews>
  <sheets>
    <sheet name="7.1" sheetId="1" r:id="rId1"/>
    <sheet name="7.2 1кв." sheetId="2" r:id="rId2"/>
    <sheet name="11.1" sheetId="3" r:id="rId3"/>
    <sheet name="8" sheetId="4" r:id="rId4"/>
    <sheet name="12" sheetId="5" r:id="rId5"/>
  </sheets>
  <externalReferences>
    <externalReference r:id="rId8"/>
  </externalReferences>
  <definedNames>
    <definedName name="_xlnm.Print_Titles" localSheetId="0">'7.1'!$13:$15</definedName>
    <definedName name="_xlnm.Print_Titles" localSheetId="1">'7.2 1кв.'!$15:$17</definedName>
    <definedName name="_xlnm.Print_Area" localSheetId="2">'11.1'!$A$1:$J$32</definedName>
    <definedName name="_xlnm.Print_Area" localSheetId="4">'12'!$A$1:$DA$52</definedName>
    <definedName name="_xlnm.Print_Area" localSheetId="0">'7.1'!$A$1:$W$79</definedName>
    <definedName name="_xlnm.Print_Area" localSheetId="1">'7.2 1кв.'!$A$1:$AJ$27</definedName>
    <definedName name="_xlnm.Print_Area" localSheetId="3">'8'!$A$1:$EY$54</definedName>
  </definedNames>
  <calcPr fullCalcOnLoad="1"/>
</workbook>
</file>

<file path=xl/sharedStrings.xml><?xml version="1.0" encoding="utf-8"?>
<sst xmlns="http://schemas.openxmlformats.org/spreadsheetml/2006/main" count="420" uniqueCount="326">
  <si>
    <t>Приложение № 7.1</t>
  </si>
  <si>
    <t>к Приказу Минэнерго России</t>
  </si>
  <si>
    <t>от 24.03.2010 № 114</t>
  </si>
  <si>
    <t>(подпись)</t>
  </si>
  <si>
    <t>года</t>
  </si>
  <si>
    <t>МП</t>
  </si>
  <si>
    <t>М.П.</t>
  </si>
  <si>
    <t>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</si>
  <si>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</si>
  <si>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</si>
  <si>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</si>
  <si>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</si>
  <si>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</si>
  <si>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</si>
  <si>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</si>
  <si>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</si>
  <si>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</si>
  <si>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</si>
  <si>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</si>
  <si>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</si>
  <si>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</si>
  <si>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</si>
  <si>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</si>
  <si>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</si>
  <si>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</si>
  <si>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</si>
  <si>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</si>
  <si>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</si>
  <si>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</si>
  <si>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</si>
  <si>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</si>
  <si>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</si>
  <si>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</si>
  <si>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</si>
  <si>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</si>
  <si>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</si>
  <si>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</si>
  <si>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</si>
  <si>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</si>
  <si>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</si>
  <si>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</si>
  <si>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</si>
  <si>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</si>
  <si>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</si>
  <si>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</si>
  <si>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</si>
  <si>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</si>
  <si>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</si>
  <si>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</si>
  <si>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</si>
  <si>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</si>
  <si>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</si>
  <si>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</si>
  <si>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</si>
  <si>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</si>
  <si>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</si>
  <si>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</si>
  <si>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</si>
  <si>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</si>
  <si>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</si>
  <si>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</si>
  <si>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</si>
  <si>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</si>
  <si>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</si>
  <si>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</si>
  <si>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</si>
  <si>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</si>
  <si>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</si>
  <si>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</si>
  <si>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</si>
  <si>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</si>
  <si>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</si>
  <si>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</si>
  <si>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</si>
  <si>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</si>
  <si>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</si>
  <si>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</si>
  <si>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</si>
  <si>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</si>
  <si>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</si>
  <si>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</si>
  <si>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</si>
  <si>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</si>
  <si>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</si>
  <si>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</si>
  <si>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</si>
  <si>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</si>
  <si>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</si>
  <si>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</si>
  <si>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2.</t>
  </si>
  <si>
    <t>Новое строительство</t>
  </si>
  <si>
    <t>2.1</t>
  </si>
  <si>
    <t>2.2</t>
  </si>
  <si>
    <t xml:space="preserve">Исполнительный директор </t>
  </si>
  <si>
    <t>Смирнов В.В.</t>
  </si>
  <si>
    <t>Приложение № 7.2</t>
  </si>
  <si>
    <t>№ №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</si>
  <si>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</si>
  <si>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</si>
  <si>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</si>
  <si>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</si>
  <si>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</si>
  <si>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</si>
  <si>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ПИР</t>
  </si>
  <si>
    <t>СМР</t>
  </si>
  <si>
    <t>оборудо-
вание и мате-
Риалы</t>
  </si>
  <si>
    <t>прочие</t>
  </si>
  <si>
    <t>генерирующие объекты</t>
  </si>
  <si>
    <t>подстанции</t>
  </si>
  <si>
    <t>линии электропередачи</t>
  </si>
  <si>
    <t>иные объекты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</si>
  <si>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</si>
  <si>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</si>
  <si>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</si>
  <si>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</si>
  <si>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</si>
  <si>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</si>
  <si>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</si>
  <si>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</si>
  <si>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9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</si>
  <si>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</si>
  <si>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</si>
  <si>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</si>
  <si>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</si>
  <si>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</si>
  <si>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</si>
  <si>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</si>
  <si>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</si>
  <si>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</si>
  <si>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</si>
  <si>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</si>
  <si>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</si>
  <si>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</si>
  <si>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</si>
  <si>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</si>
  <si>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</si>
  <si>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</si>
  <si>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</si>
  <si>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</si>
  <si>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</si>
  <si>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Приложение № 8</t>
  </si>
  <si>
    <t>Отчет об источниках финансирования инвестиционной программы ООО "Энергосервис", млн. рублей без НДС</t>
  </si>
  <si>
    <t xml:space="preserve">(представляется ежеквартально) </t>
  </si>
  <si>
    <t xml:space="preserve">Утверждаю
Генеральный директор
ОАО "УК Русэнергокапитал"
Дмитриев А.И.
 </t>
  </si>
  <si>
    <t>"</t>
  </si>
  <si>
    <t>Источник финансирования</t>
  </si>
  <si>
    <t>план *</t>
  </si>
  <si>
    <t>факт **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</si>
  <si>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</si>
  <si>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</si>
  <si>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</si>
  <si>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</si>
  <si>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</si>
  <si>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</si>
  <si>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</si>
  <si>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</si>
  <si>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</si>
  <si>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</si>
  <si>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</si>
  <si>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</si>
  <si>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</si>
  <si>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</si>
  <si>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</si>
  <si>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</si>
  <si>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</si>
  <si>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</si>
  <si>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</si>
  <si>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</si>
  <si>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</si>
  <si>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</si>
  <si>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</si>
  <si>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</si>
  <si>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</si>
  <si>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</si>
  <si>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</si>
  <si>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</si>
  <si>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</si>
  <si>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</si>
  <si>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</si>
  <si>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</si>
  <si>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</si>
  <si>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</si>
  <si>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</si>
  <si>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</si>
  <si>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</si>
  <si>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</si>
  <si>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</si>
  <si>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</si>
  <si>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</si>
  <si>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</si>
  <si>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</si>
  <si>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</si>
  <si>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</si>
  <si>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</si>
  <si>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</si>
  <si>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</si>
  <si>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</si>
  <si>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</si>
  <si>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</si>
  <si>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</si>
  <si>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</si>
  <si>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</si>
  <si>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</si>
  <si>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Приложение № 12
к Приказу Минэнерго России
от 24.03.2010 № 114</t>
  </si>
  <si>
    <t>Форма представления показателей финансовой отчетности ООО "Энергосервис"
(представляется ежеквартально), тыс.руб.</t>
  </si>
  <si>
    <t>Финансовые показатели за отчетный период [</t>
  </si>
  <si>
    <t>квартал</t>
  </si>
  <si>
    <t>года/</t>
  </si>
  <si>
    <t>2009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</si>
  <si>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</si>
  <si>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</si>
  <si>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</si>
  <si>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</si>
  <si>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на конец 2009 года/
за 2009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</si>
  <si>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</si>
  <si>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</si>
  <si>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</si>
  <si>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</si>
  <si>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(инвестпрограмма)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</si>
  <si>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</si>
  <si>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</si>
  <si>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</si>
  <si>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</si>
  <si>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</si>
  <si>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</si>
  <si>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</si>
  <si>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</si>
  <si>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</si>
  <si>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</si>
  <si>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</si>
  <si>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</si>
  <si>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</si>
  <si>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</si>
  <si>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</si>
  <si>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</si>
  <si>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</si>
  <si>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</si>
  <si>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</si>
  <si>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инвестпрограмма не была утверждена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</si>
  <si>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</si>
  <si>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</si>
  <si>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</si>
  <si>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</si>
  <si>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</si>
  <si>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Инвестиционная программа реализуется за счет собственных источников компании.За период 2010-2012 гг кредитные средства для реализации инвестпрограммы не привлекались.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</si>
  <si>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</si>
  <si>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</si>
  <si>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</si>
  <si>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</si>
  <si>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2016</t>
  </si>
  <si>
    <t>Объем финансирования [1 кв.2016 года]</t>
  </si>
  <si>
    <t>Реконструкция ТП-677( замена выключателей нагрузки 6кВ — 6шт и ячеек - 6шт)</t>
  </si>
  <si>
    <t>Реконструкция ТП-678( замена выключателей нагрузки 6кВ - 6шт и ячеек — 6шт)</t>
  </si>
  <si>
    <t>Реконструкция ТП-2 «Парижская комммуна» ( РУ-6 кВ, замена маслянных выключателей ВПГ-10 6шт)</t>
  </si>
  <si>
    <t>Реконструкция ТП-2 «Парижская комммуна» ( РУ-0,4 кВ, установка приборов учета с системой АСКУЭ,эл.счетчик Меркурий ART-03 PQRSIDN - 18 шт.,шлюз — 2шт, ТТ 200/5 — 54 шт. )</t>
  </si>
  <si>
    <t>Реконструкция ТП-2 «Парижская комммуна» (строительная часть: ремонт кровли площадь - 390м2, замена 2-х створчатых дверей — 4шт, строительство отмостки площадь - 41м2, закрытие кабельных каналов метал. Листами площадь — 25м2, ремонт помещений РУ-0,4кВ)</t>
  </si>
  <si>
    <t>Реконструкция ТП-2 «Парижская комммуна» (замена трансформаторов:ТМГ 1000/6 цена:550тыс.руб — 1шт.,ТМГ 630/6 цена 399тыс.руб — 1шт.)</t>
  </si>
  <si>
    <t>Реконструкция сетей электроснабжения ВЛ-0,4кВ г. Шарья ул. Парашютная</t>
  </si>
  <si>
    <t xml:space="preserve"> г.Шарья Замена КЛ-6кВ от ЗТП-2 до ЗТП-1, 500м</t>
  </si>
  <si>
    <t>Замена КЛ от ТП-194 до ВРУ ж/д №6 Молочной горе, 220м</t>
  </si>
  <si>
    <t>Замена КЛ от ВРУ ж/д №7 по ул.Гагарина до ВРУ ж/д №128 по ул.Советской, 85м</t>
  </si>
  <si>
    <t>Замена КЛ от ТП-104 до ВРУ ж/д № 26 по ул. Проселочной,120м</t>
  </si>
  <si>
    <t>Замена КЛ от ТП-194 до ВРУ ж/д №9 по Щемиловке, 55м</t>
  </si>
  <si>
    <t>Замена КЛ от ТП-331 до ВРУ ж/д №48 по ул. Центральная, 150м</t>
  </si>
  <si>
    <t>Замена КЛ от ТП-299 до ВРУ ж/д N215-17 по ул. Сутырина, 125м</t>
  </si>
  <si>
    <t>Замена КЛ от РЩ-1/158 до ВРУ ж/д №8 по Глазковскому, 42м</t>
  </si>
  <si>
    <t>Замена КЛ от РЩ-1/158 до ВРУ ж/д №8 по Глазковскому, 25м</t>
  </si>
  <si>
    <t>Замена КЛ от ВРУ ж/д №37-а по ул. Димитрова до ВРУ ж/д №22 по ул. Сутырина, 140м</t>
  </si>
  <si>
    <t>Замена КЛ от ТП-514 до ВРУ ж/д № 8 по ул. Боровой, 310м</t>
  </si>
  <si>
    <t>Замена КЛ от ВРУ ж/д №28 до ВРУ ж/д №30 по ул. Фестивальной, 100м</t>
  </si>
  <si>
    <t>Замена КЛ от ТП-458 до ВРУ ж/д №30 по ул. Боровой, 140м</t>
  </si>
  <si>
    <t>Замена КЛ от ТП-449 до ВРУ № 1 ж/д № 20 по ул. Волжской, 200м</t>
  </si>
  <si>
    <t>Замена КЛ от ТП-449 до ВРУ № 2 ж/д № 20 по ул. Волжской, 60м</t>
  </si>
  <si>
    <t>Замена КЛ от ВРУ №1 до ВРУ №2 ж/д № 20 по ул. Волжской, 80м</t>
  </si>
  <si>
    <t>Замена КЛ от ТП-449 до ВРУ ж/д № 20 по ул. Волжская с магазином, 220м</t>
  </si>
  <si>
    <t>Замена КЛ от ВРУ ж/д №9-а до ВРУ ж/д N9 по ул. Мичуринцев, 40м</t>
  </si>
  <si>
    <t>Замена КЛ от ВРУ ж/д N2 9-а до ВРУ ж/д 3-а по пр. Мичуринцев, 55м</t>
  </si>
  <si>
    <t>Замена КЛ от ТП-247 до ВРУ ж/д №2 по ул.Мичуринцев, 160м</t>
  </si>
  <si>
    <t>Замена КЛ от ТП-389 до ВРУ ж/д №128 по пр. Мира, 130м</t>
  </si>
  <si>
    <t>Замена КЛ от ТП-331 до ВРУ ж/д №37-а по ул. Димитрова, 155м</t>
  </si>
  <si>
    <t>Замена КЛ от ТП-368 до ВРУ ж/д №42/46 по ул.Симановского, 290м</t>
  </si>
  <si>
    <t>Замена КЛ от ТП-419 до ВРУ ж/д №14 по ул. Индустриальной, 350м</t>
  </si>
  <si>
    <t>Замена КЛ от ТП-506 до ВРУ ж/д №13 по ул. 5 Рабочая, 75м</t>
  </si>
  <si>
    <t>Замена КЛ от ТП-286 до ВРУ ж/д № 62 по ул. Никитской, 110м</t>
  </si>
  <si>
    <t>Замена КЛ от ТП-293 до ВРУ ж/д № 6 по ул. Скворцова, 50м</t>
  </si>
  <si>
    <t>Замена КЛ от ВРУ ж/д № 114 до ВРУ ж/д № 116 по ул. Никитской, 80м</t>
  </si>
  <si>
    <t>Замена КЛ от ВРУ ж д № 118 до ВРУ ж/д №116 по ул. Никитской, 80м</t>
  </si>
  <si>
    <t>Замена КЛ от ТП-366 до ВРУ ж/д №197-а по ул. Шагова, 85м</t>
  </si>
  <si>
    <t>Замена КЛ от ВРУ ж/д № 183 до ВРУ ж/д №197-а по ул. Шагова, 145м</t>
  </si>
  <si>
    <t>Замена КЛ от ТП-394 до ВРУ ж/д №3 по ул. 3-й Сосновый пр., 50м</t>
  </si>
  <si>
    <t>Замена КЛ от ТП-394 до опоры ВЛ-0.4 на ж/дома № 1,7,9,11 по 3-му Сосновому пр., 40м</t>
  </si>
  <si>
    <t>Замена КЛ от ТП-394 до опоры ВЛ-0,4 уличного освещения на район 1-го, 2-го и 3-го Соснового пр., 30м</t>
  </si>
  <si>
    <t>Замена КЛ от ТП-395 до опоры ВЛ-0.4 на ж/д № 16,21 по 2-му Сосновому пр. и ж/д  №13,19 по 1-му Сосновому пр. и от ТП-395 до опоры ВЛ-0.4 на ж/д 15, 19 по 2-му Сосоновому пр., 20м</t>
  </si>
  <si>
    <t>Замена КЛ от ТП-303 до ВРУ ж/д № 37 по ул. Полянская, 130м</t>
  </si>
  <si>
    <t>Замена КЛ от ВРУ ж/д № 36 до ВРУ ж/д № 29/34 по ул. Полянская, 120м</t>
  </si>
  <si>
    <t>Реконструкция КЛ электропередач КЛ-0,4кВ г.Шарья, ул. 50 лет Советской власти д. 21</t>
  </si>
  <si>
    <t>Реконструкция КЛ  электропередач КЛ-0,4кВ г.Шарья, ул. 50 лет Советской власти д. 25</t>
  </si>
  <si>
    <t>Реконструкция КЛ  электропередач КЛ-0,4кВ г.Шарья, ул. 50 лет Советской власти д. 29</t>
  </si>
  <si>
    <t>Реконструкция КЛ  электропередач КЛ-0,4кВ г.Шарья, ул. 50 лет Советской власти д. 32</t>
  </si>
  <si>
    <t>Реконструкция КЛ  электропередач КЛ-0,4кВ г.Шарья, ул. 1-й Микрорайон д. 29А</t>
  </si>
  <si>
    <t>Реконструкция КЛ  электропередач КЛ-0,4кВ г.Шарья, ул. 50 лет Советской власти д. 35</t>
  </si>
  <si>
    <t>Реконструкция КЛ электропередач КЛ-0,4кВ г.Шарья, ул. 50 лет Советской власти д. 35А</t>
  </si>
  <si>
    <t>Реконструкция КЛ электропередач КЛ-0,4кВ п.Ветлужский, ул. Калинина д. 3</t>
  </si>
  <si>
    <t>Реконструкция КЛ электропередач КЛ-0,4кВ г.Шарья, ул. Дружба д. 5</t>
  </si>
  <si>
    <t xml:space="preserve">  Реконструкция сетей электроснабжения ВЛ-10кВ ф 10-02 то ПС Шекшема</t>
  </si>
  <si>
    <t>Приобретение объектов электросетевого хозяйства</t>
  </si>
  <si>
    <r>
      <t xml:space="preserve">СИП 4х70 — 105м 
АБВбшв </t>
    </r>
    <r>
      <rPr>
        <sz val="8"/>
        <rFont val="Times New Roman"/>
        <family val="1"/>
      </rPr>
      <t>4х95</t>
    </r>
    <r>
      <rPr>
        <sz val="8"/>
        <rFont val="Times New Roman"/>
        <family val="1"/>
      </rPr>
      <t xml:space="preserve"> — 117 м</t>
    </r>
  </si>
  <si>
    <t>Отчетный период 1 кв.2016 года</t>
  </si>
  <si>
    <t>по состоянию на 31.03.16</t>
  </si>
  <si>
    <t xml:space="preserve">                             Утверждаю
          Генеральный директор 
ОАО "УК Русэнергокапитал"
                       Дмитриев А.И.</t>
  </si>
  <si>
    <t xml:space="preserve">                           Утверждаю
        Генеральный директор 
ОАО "УК Русэнергокапитал"
                       Дмитриев А.И.</t>
  </si>
  <si>
    <t>Исполнительный директор</t>
  </si>
  <si>
    <t xml:space="preserve">Отчет об исполнении инвестиционной программы ООО "Энергосервис" за 1 квартал 2016 г, млн. рублей с НДС </t>
  </si>
  <si>
    <t>Отчет об исполнении основных этапов работ по реализации инвестиционной программы ООО "Энергосервис" в отчетном году (1 квартал 2016 года)</t>
  </si>
  <si>
    <t>Отчет об исполнении сетевых графиков строительства проектов ООО "Энергосервис".</t>
  </si>
  <si>
    <t>Утверждаю
Генеральный директор  
ОАО "УК Русэнегокапитал"
Дмитриев А.И.</t>
  </si>
  <si>
    <t>год ввода
в эксплуа-
тацию</t>
  </si>
  <si>
    <t>"13"  мая  2016 года</t>
  </si>
  <si>
    <t>"13 "мая 2016 года</t>
  </si>
  <si>
    <t xml:space="preserve">                             Утверждаю
          Генеральный директор 
ОАО "УК Русэнергокапитал"
                      Дмитриев А.И.</t>
  </si>
  <si>
    <t>"13" мая 2016 года</t>
  </si>
  <si>
    <t>мая</t>
  </si>
  <si>
    <t>16</t>
  </si>
  <si>
    <t>13</t>
  </si>
  <si>
    <t xml:space="preserve">Строительство ТП в п.Васильевское ( ТП с 2-мя трансформаторами по 400кВА) ТМГ 400/6 </t>
  </si>
  <si>
    <t xml:space="preserve">Строительство ТП в п.Прибрежный (1. перевод населения с ТП-315 на новую ТП,ТМГ 400/6 цена:255тыс.руб 2.перевод населения с ТП-669 на новую ТП, мощностью 100кВА ТМГ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</si>
</sst>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0"/>
    <numFmt numFmtId="166" formatCode="#,##0.000"/>
    <numFmt numFmtId="167" formatCode="#,##0.0000"/>
    <numFmt numFmtId="168" formatCode="#,##0.000,"/>
    <numFmt numFmtId="169" formatCode="_-* #,##0.00[$€-1]_-;\-* #,##0.00[$€-1]_-;_-* \-??[$€-1]_-"/>
    <numFmt numFmtId="170" formatCode="#,##0;[Red]\-#,##0"/>
    <numFmt numFmtId="171" formatCode="\$#,##0_);[Red]&quot;($&quot;#,##0\)"/>
    <numFmt numFmtId="172" formatCode="0.00000"/>
    <numFmt numFmtId="173" formatCode="#,##0\ &quot;₽&quot;;\-#,##0\ &quot;₽&quot;"/>
    <numFmt numFmtId="174" formatCode="#,##0\ &quot;₽&quot;;[Red]\-#,##0\ &quot;₽&quot;"/>
    <numFmt numFmtId="175" formatCode="#,##0.00\ &quot;₽&quot;;\-#,##0.00\ &quot;₽&quot;"/>
    <numFmt numFmtId="176" formatCode="#,##0.00\ &quot;₽&quot;;[Red]\-#,##0.00\ &quot;₽&quot;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&quot;₽&quot;_-;\-* #,##0.00\ &quot;₽&quot;_-;_-* &quot;-&quot;??\ &quot;₽&quot;_-;_-@_-"/>
    <numFmt numFmtId="180" formatCode="_-* #,##0.00\ _₽_-;\-* #,##0.00\ _₽_-;_-* &quot;-&quot;??\ _₽_-;_-@_-"/>
  </numFmts>
  <fonts count="5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sz val="9"/>
      <color indexed="11"/>
      <name val="Tahoma"/>
      <family val="2"/>
    </font>
    <font>
      <sz val="14"/>
      <name val="Tahoma"/>
      <family val="2"/>
    </font>
    <font>
      <sz val="13"/>
      <name val="Times New Roman"/>
      <family val="1"/>
    </font>
    <font>
      <sz val="20"/>
      <name val="Times New Roman"/>
      <family val="1"/>
    </font>
    <font>
      <sz val="13.5"/>
      <name val="Times New Roman"/>
      <family val="1"/>
    </font>
    <font>
      <sz val="13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2"/>
    </font>
    <font>
      <u val="single"/>
      <sz val="11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170" fontId="15" fillId="0" borderId="0">
      <alignment vertical="top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49" fontId="17" fillId="0" borderId="1">
      <alignment vertical="top"/>
      <protection locked="0"/>
    </xf>
    <xf numFmtId="171" fontId="18" fillId="0" borderId="0" applyFill="0" applyBorder="0" applyProtection="0">
      <alignment vertical="top"/>
    </xf>
    <xf numFmtId="0" fontId="19" fillId="0" borderId="0" applyFill="0" applyBorder="0" applyProtection="0">
      <alignment vertical="center"/>
    </xf>
    <xf numFmtId="49" fontId="20" fillId="0" borderId="0" applyFill="0" applyBorder="0" applyProtection="0">
      <alignment vertical="top"/>
    </xf>
    <xf numFmtId="49" fontId="17" fillId="13" borderId="1">
      <alignment vertical="top"/>
      <protection/>
    </xf>
    <xf numFmtId="49" fontId="21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0" fontId="15" fillId="0" borderId="0">
      <alignment/>
      <protection/>
    </xf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3" fillId="14" borderId="2">
      <alignment horizontal="center" vertical="center"/>
      <protection/>
    </xf>
    <xf numFmtId="0" fontId="43" fillId="11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3" borderId="1" applyNumberFormat="0" applyAlignment="0" applyProtection="0"/>
    <xf numFmtId="0" fontId="45" fillId="4" borderId="3" applyNumberFormat="0" applyAlignment="0" applyProtection="0"/>
    <xf numFmtId="0" fontId="46" fillId="4" borderId="1" applyNumberFormat="0" applyAlignment="0" applyProtection="0"/>
    <xf numFmtId="49" fontId="24" fillId="0" borderId="0" applyFill="0" applyBorder="0" applyProtection="0">
      <alignment vertical="top"/>
    </xf>
    <xf numFmtId="49" fontId="25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Border="0">
      <alignment horizontal="center" vertical="center" wrapText="1"/>
      <protection/>
    </xf>
    <xf numFmtId="0" fontId="50" fillId="0" borderId="7" applyNumberFormat="0" applyFill="0" applyAlignment="0" applyProtection="0"/>
    <xf numFmtId="0" fontId="51" fillId="16" borderId="8" applyNumberFormat="0" applyAlignment="0" applyProtection="0"/>
    <xf numFmtId="0" fontId="52" fillId="0" borderId="0" applyNumberFormat="0" applyFill="0" applyBorder="0" applyAlignment="0" applyProtection="0"/>
    <xf numFmtId="0" fontId="53" fillId="10" borderId="0" applyNumberFormat="0" applyBorder="0" applyAlignment="0" applyProtection="0"/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Fill="0" applyBorder="0" applyProtection="0">
      <alignment vertical="top"/>
    </xf>
    <xf numFmtId="49" fontId="18" fillId="0" borderId="0" applyBorder="0">
      <alignment vertical="top"/>
      <protection/>
    </xf>
    <xf numFmtId="49" fontId="27" fillId="18" borderId="0" applyBorder="0">
      <alignment vertical="top"/>
      <protection/>
    </xf>
    <xf numFmtId="49" fontId="18" fillId="18" borderId="0" applyBorder="0">
      <alignment vertical="top"/>
      <protection/>
    </xf>
    <xf numFmtId="0" fontId="15" fillId="0" borderId="0">
      <alignment/>
      <protection/>
    </xf>
    <xf numFmtId="0" fontId="0" fillId="0" borderId="0">
      <alignment/>
      <protection/>
    </xf>
    <xf numFmtId="49" fontId="18" fillId="0" borderId="0">
      <alignment vertical="top"/>
      <protection/>
    </xf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7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88" applyFont="1">
      <alignment/>
      <protection/>
    </xf>
    <xf numFmtId="0" fontId="7" fillId="0" borderId="0" xfId="88" applyFont="1" applyAlignment="1">
      <alignment horizontal="right"/>
      <protection/>
    </xf>
    <xf numFmtId="0" fontId="7" fillId="0" borderId="0" xfId="88" applyFont="1" applyAlignment="1">
      <alignment horizontal="right" wrapText="1"/>
      <protection/>
    </xf>
    <xf numFmtId="0" fontId="11" fillId="0" borderId="0" xfId="88" applyFont="1">
      <alignment/>
      <protection/>
    </xf>
    <xf numFmtId="0" fontId="3" fillId="0" borderId="0" xfId="88" applyFont="1">
      <alignment/>
      <protection/>
    </xf>
    <xf numFmtId="0" fontId="3" fillId="0" borderId="0" xfId="88" applyFont="1" applyBorder="1" applyAlignment="1">
      <alignment horizontal="center"/>
      <protection/>
    </xf>
    <xf numFmtId="0" fontId="3" fillId="0" borderId="0" xfId="88" applyFont="1" applyAlignment="1">
      <alignment horizontal="right"/>
      <protection/>
    </xf>
    <xf numFmtId="0" fontId="3" fillId="0" borderId="0" xfId="88" applyFont="1" applyAlignment="1">
      <alignment horizontal="left"/>
      <protection/>
    </xf>
    <xf numFmtId="0" fontId="5" fillId="0" borderId="0" xfId="88" applyFont="1">
      <alignment/>
      <protection/>
    </xf>
    <xf numFmtId="0" fontId="4" fillId="0" borderId="0" xfId="88" applyFont="1">
      <alignment/>
      <protection/>
    </xf>
    <xf numFmtId="0" fontId="10" fillId="0" borderId="0" xfId="88" applyFont="1" applyAlignment="1">
      <alignment horizontal="right"/>
      <protection/>
    </xf>
    <xf numFmtId="0" fontId="2" fillId="0" borderId="0" xfId="88" applyFont="1">
      <alignment/>
      <protection/>
    </xf>
    <xf numFmtId="0" fontId="6" fillId="0" borderId="0" xfId="88" applyFont="1">
      <alignment/>
      <protection/>
    </xf>
    <xf numFmtId="0" fontId="2" fillId="0" borderId="0" xfId="88" applyFont="1" applyBorder="1" applyAlignment="1">
      <alignment horizontal="center"/>
      <protection/>
    </xf>
    <xf numFmtId="0" fontId="2" fillId="0" borderId="0" xfId="88" applyFont="1" applyAlignment="1">
      <alignment horizontal="right"/>
      <protection/>
    </xf>
    <xf numFmtId="0" fontId="2" fillId="0" borderId="0" xfId="88" applyFont="1" applyAlignment="1">
      <alignment horizontal="left"/>
      <protection/>
    </xf>
    <xf numFmtId="0" fontId="2" fillId="0" borderId="13" xfId="88" applyFont="1" applyFill="1" applyBorder="1">
      <alignment/>
      <protection/>
    </xf>
    <xf numFmtId="0" fontId="2" fillId="0" borderId="0" xfId="88" applyFont="1" applyFill="1">
      <alignment/>
      <protection/>
    </xf>
    <xf numFmtId="0" fontId="2" fillId="0" borderId="14" xfId="88" applyFont="1" applyFill="1" applyBorder="1">
      <alignment/>
      <protection/>
    </xf>
    <xf numFmtId="0" fontId="2" fillId="0" borderId="0" xfId="88" applyFont="1" applyFill="1" applyAlignment="1">
      <alignment horizontal="center"/>
      <protection/>
    </xf>
    <xf numFmtId="0" fontId="13" fillId="0" borderId="0" xfId="88" applyFont="1" applyFill="1">
      <alignment/>
      <protection/>
    </xf>
    <xf numFmtId="0" fontId="2" fillId="0" borderId="15" xfId="88" applyFont="1" applyFill="1" applyBorder="1">
      <alignment/>
      <protection/>
    </xf>
    <xf numFmtId="4" fontId="16" fillId="0" borderId="9" xfId="87" applyNumberFormat="1" applyFont="1" applyBorder="1" applyAlignment="1">
      <alignment horizontal="right" vertical="top" wrapText="1"/>
      <protection/>
    </xf>
    <xf numFmtId="0" fontId="11" fillId="0" borderId="0" xfId="88" applyFont="1" applyAlignment="1">
      <alignment horizontal="center" vertical="center"/>
      <protection/>
    </xf>
    <xf numFmtId="49" fontId="2" fillId="0" borderId="0" xfId="89" applyFont="1" applyAlignment="1">
      <alignment horizontal="center" vertical="center" wrapText="1"/>
      <protection/>
    </xf>
    <xf numFmtId="49" fontId="18" fillId="0" borderId="0" xfId="89" applyAlignment="1">
      <alignment horizontal="center" vertical="center" wrapText="1"/>
      <protection/>
    </xf>
    <xf numFmtId="49" fontId="18" fillId="0" borderId="0" xfId="89" applyFill="1" applyAlignment="1">
      <alignment horizontal="center" vertical="center" wrapText="1"/>
      <protection/>
    </xf>
    <xf numFmtId="49" fontId="2" fillId="0" borderId="0" xfId="89" applyFont="1" applyBorder="1" applyAlignment="1">
      <alignment horizontal="center" vertical="center" wrapText="1"/>
      <protection/>
    </xf>
    <xf numFmtId="49" fontId="3" fillId="0" borderId="0" xfId="89" applyFont="1" applyBorder="1" applyAlignment="1">
      <alignment horizontal="right" wrapText="1"/>
      <protection/>
    </xf>
    <xf numFmtId="49" fontId="2" fillId="0" borderId="11" xfId="89" applyFont="1" applyBorder="1" applyAlignment="1">
      <alignment horizontal="center" vertical="center" wrapText="1"/>
      <protection/>
    </xf>
    <xf numFmtId="49" fontId="2" fillId="0" borderId="0" xfId="89" applyFont="1" applyFill="1" applyAlignment="1">
      <alignment horizontal="center" vertical="center" wrapText="1"/>
      <protection/>
    </xf>
    <xf numFmtId="49" fontId="3" fillId="0" borderId="0" xfId="89" applyFont="1" applyBorder="1" applyAlignment="1">
      <alignment horizontal="right"/>
      <protection/>
    </xf>
    <xf numFmtId="49" fontId="3" fillId="0" borderId="0" xfId="89" applyFont="1">
      <alignment vertical="top"/>
      <protection/>
    </xf>
    <xf numFmtId="49" fontId="3" fillId="0" borderId="0" xfId="89" applyFont="1" applyAlignment="1">
      <alignment horizontal="left"/>
      <protection/>
    </xf>
    <xf numFmtId="49" fontId="3" fillId="0" borderId="0" xfId="89" applyFont="1" applyAlignment="1">
      <alignment horizontal="right"/>
      <protection/>
    </xf>
    <xf numFmtId="164" fontId="6" fillId="0" borderId="16" xfId="89" applyNumberFormat="1" applyFont="1" applyFill="1" applyBorder="1" applyAlignment="1">
      <alignment horizontal="center" vertical="center" wrapText="1"/>
      <protection/>
    </xf>
    <xf numFmtId="164" fontId="2" fillId="0" borderId="16" xfId="89" applyNumberFormat="1" applyFont="1" applyFill="1" applyBorder="1" applyAlignment="1">
      <alignment horizontal="center" vertical="center" wrapText="1"/>
      <protection/>
    </xf>
    <xf numFmtId="49" fontId="2" fillId="0" borderId="16" xfId="89" applyFont="1" applyFill="1" applyBorder="1" applyAlignment="1">
      <alignment horizontal="center" vertical="center" wrapText="1"/>
      <protection/>
    </xf>
    <xf numFmtId="49" fontId="6" fillId="0" borderId="16" xfId="89" applyFont="1" applyFill="1" applyBorder="1" applyAlignment="1">
      <alignment horizontal="center" vertical="center" wrapText="1"/>
      <protection/>
    </xf>
    <xf numFmtId="49" fontId="6" fillId="0" borderId="16" xfId="89" applyNumberFormat="1" applyFont="1" applyFill="1" applyBorder="1" applyAlignment="1">
      <alignment horizontal="center" vertical="center" wrapText="1"/>
      <protection/>
    </xf>
    <xf numFmtId="49" fontId="2" fillId="0" borderId="16" xfId="89" applyNumberFormat="1" applyFont="1" applyFill="1" applyBorder="1" applyAlignment="1">
      <alignment horizontal="center" vertical="center" wrapText="1"/>
      <protection/>
    </xf>
    <xf numFmtId="49" fontId="8" fillId="0" borderId="0" xfId="89" applyFont="1" applyAlignment="1">
      <alignment horizontal="center" vertical="center" wrapText="1"/>
      <protection/>
    </xf>
    <xf numFmtId="49" fontId="2" fillId="0" borderId="16" xfId="89" applyNumberFormat="1" applyFont="1" applyFill="1" applyBorder="1" applyAlignment="1">
      <alignment horizontal="center" vertical="center" wrapText="1"/>
      <protection/>
    </xf>
    <xf numFmtId="2" fontId="18" fillId="0" borderId="0" xfId="89" applyNumberFormat="1" applyFont="1" applyAlignment="1">
      <alignment horizontal="center" vertical="center" wrapText="1"/>
      <protection/>
    </xf>
    <xf numFmtId="2" fontId="18" fillId="0" borderId="0" xfId="89" applyNumberFormat="1" applyAlignment="1">
      <alignment horizontal="center" vertical="center" wrapText="1"/>
      <protection/>
    </xf>
    <xf numFmtId="0" fontId="3" fillId="0" borderId="0" xfId="88" applyFont="1" applyAlignment="1">
      <alignment horizontal="right" wrapText="1"/>
      <protection/>
    </xf>
    <xf numFmtId="0" fontId="0" fillId="0" borderId="0" xfId="88" applyAlignment="1">
      <alignment/>
      <protection/>
    </xf>
    <xf numFmtId="0" fontId="2" fillId="0" borderId="0" xfId="88" applyFont="1" applyAlignment="1">
      <alignment horizontal="right" wrapText="1"/>
      <protection/>
    </xf>
    <xf numFmtId="49" fontId="10" fillId="0" borderId="0" xfId="89" applyFont="1">
      <alignment vertical="top"/>
      <protection/>
    </xf>
    <xf numFmtId="49" fontId="2" fillId="0" borderId="0" xfId="89" applyFont="1">
      <alignment vertical="top"/>
      <protection/>
    </xf>
    <xf numFmtId="49" fontId="2" fillId="0" borderId="0" xfId="89" applyFont="1" applyBorder="1" applyAlignment="1">
      <alignment horizontal="center" vertical="center"/>
      <protection/>
    </xf>
    <xf numFmtId="49" fontId="2" fillId="0" borderId="0" xfId="89" applyFont="1" applyBorder="1" applyAlignment="1">
      <alignment horizontal="right" vertical="center"/>
      <protection/>
    </xf>
    <xf numFmtId="49" fontId="7" fillId="0" borderId="0" xfId="89" applyFont="1" applyAlignment="1">
      <alignment horizontal="center" vertical="center" wrapText="1"/>
      <protection/>
    </xf>
    <xf numFmtId="49" fontId="2" fillId="0" borderId="0" xfId="89" applyFont="1" applyAlignment="1">
      <alignment horizontal="center" vertical="center"/>
      <protection/>
    </xf>
    <xf numFmtId="49" fontId="2" fillId="0" borderId="0" xfId="89" applyFont="1" applyBorder="1" applyAlignment="1">
      <alignment vertical="center"/>
      <protection/>
    </xf>
    <xf numFmtId="49" fontId="2" fillId="0" borderId="0" xfId="89" applyFont="1" applyBorder="1" applyAlignment="1">
      <alignment vertical="center" wrapText="1"/>
      <protection/>
    </xf>
    <xf numFmtId="49" fontId="11" fillId="0" borderId="0" xfId="89" applyFont="1" applyBorder="1" applyAlignment="1">
      <alignment horizontal="center" vertical="center"/>
      <protection/>
    </xf>
    <xf numFmtId="49" fontId="11" fillId="0" borderId="0" xfId="89" applyFont="1" applyAlignment="1">
      <alignment horizontal="left" vertical="center"/>
      <protection/>
    </xf>
    <xf numFmtId="49" fontId="28" fillId="0" borderId="0" xfId="89" applyFont="1" applyFill="1" applyAlignment="1">
      <alignment horizontal="center" vertical="center" wrapText="1"/>
      <protection/>
    </xf>
    <xf numFmtId="0" fontId="29" fillId="0" borderId="0" xfId="0" applyFont="1" applyBorder="1" applyAlignment="1">
      <alignment horizontal="right" vertical="center" wrapText="1"/>
    </xf>
    <xf numFmtId="49" fontId="6" fillId="0" borderId="16" xfId="89" applyFont="1" applyFill="1" applyBorder="1" applyAlignment="1">
      <alignment horizontal="center" vertical="center" wrapText="1"/>
      <protection/>
    </xf>
    <xf numFmtId="164" fontId="6" fillId="0" borderId="16" xfId="89" applyNumberFormat="1" applyFont="1" applyFill="1" applyBorder="1" applyAlignment="1">
      <alignment horizontal="center" vertical="center" wrapText="1"/>
      <protection/>
    </xf>
    <xf numFmtId="49" fontId="18" fillId="0" borderId="0" xfId="89" applyFont="1" applyAlignment="1">
      <alignment horizontal="center" vertical="center" wrapText="1"/>
      <protection/>
    </xf>
    <xf numFmtId="49" fontId="2" fillId="0" borderId="0" xfId="89" applyFont="1" applyAlignment="1">
      <alignment horizontal="right" vertical="center" wrapText="1"/>
      <protection/>
    </xf>
    <xf numFmtId="49" fontId="3" fillId="0" borderId="0" xfId="89" applyFont="1" applyFill="1" applyAlignment="1">
      <alignment horizontal="center" vertical="center" wrapText="1"/>
      <protection/>
    </xf>
    <xf numFmtId="49" fontId="30" fillId="0" borderId="0" xfId="89" applyFont="1" applyAlignment="1">
      <alignment horizontal="center" vertical="center"/>
      <protection/>
    </xf>
    <xf numFmtId="49" fontId="33" fillId="0" borderId="0" xfId="89" applyFont="1" applyAlignment="1">
      <alignment horizontal="left" vertical="center"/>
      <protection/>
    </xf>
    <xf numFmtId="49" fontId="33" fillId="0" borderId="0" xfId="89" applyFont="1" applyAlignment="1">
      <alignment horizontal="center" vertical="center"/>
      <protection/>
    </xf>
    <xf numFmtId="49" fontId="34" fillId="0" borderId="0" xfId="89" applyFont="1" applyAlignment="1">
      <alignment horizontal="left" vertical="center"/>
      <protection/>
    </xf>
    <xf numFmtId="49" fontId="35" fillId="0" borderId="0" xfId="89" applyFont="1" applyFill="1" applyBorder="1" applyAlignment="1">
      <alignment horizontal="center" vertical="center" wrapText="1"/>
      <protection/>
    </xf>
    <xf numFmtId="49" fontId="33" fillId="0" borderId="0" xfId="89" applyFont="1" applyAlignment="1">
      <alignment horizontal="center" vertical="center" wrapText="1"/>
      <protection/>
    </xf>
    <xf numFmtId="49" fontId="33" fillId="0" borderId="0" xfId="89" applyFont="1" applyFill="1" applyAlignment="1">
      <alignment horizontal="center" vertical="center" wrapText="1"/>
      <protection/>
    </xf>
    <xf numFmtId="49" fontId="34" fillId="0" borderId="0" xfId="89" applyFont="1" applyFill="1" applyBorder="1" applyAlignment="1">
      <alignment horizontal="center" vertical="center" wrapText="1"/>
      <protection/>
    </xf>
    <xf numFmtId="49" fontId="34" fillId="0" borderId="16" xfId="89" applyFont="1" applyFill="1" applyBorder="1" applyAlignment="1">
      <alignment horizontal="center" vertical="center" wrapText="1"/>
      <protection/>
    </xf>
    <xf numFmtId="164" fontId="34" fillId="0" borderId="16" xfId="89" applyNumberFormat="1" applyFont="1" applyFill="1" applyBorder="1" applyAlignment="1">
      <alignment horizontal="center" vertical="center" wrapText="1"/>
      <protection/>
    </xf>
    <xf numFmtId="49" fontId="34" fillId="0" borderId="16" xfId="89" applyFont="1" applyFill="1" applyBorder="1" applyAlignment="1">
      <alignment horizontal="left" vertical="center" wrapText="1"/>
      <protection/>
    </xf>
    <xf numFmtId="49" fontId="33" fillId="0" borderId="16" xfId="89" applyFont="1" applyFill="1" applyBorder="1" applyAlignment="1">
      <alignment horizontal="left" vertical="center" wrapText="1"/>
      <protection/>
    </xf>
    <xf numFmtId="2" fontId="6" fillId="0" borderId="16" xfId="89" applyNumberFormat="1" applyFont="1" applyFill="1" applyBorder="1" applyAlignment="1">
      <alignment horizontal="center" vertical="center" wrapText="1"/>
      <protection/>
    </xf>
    <xf numFmtId="164" fontId="2" fillId="0" borderId="16" xfId="89" applyNumberFormat="1" applyFont="1" applyFill="1" applyBorder="1" applyAlignment="1">
      <alignment horizontal="center" vertical="center" wrapText="1"/>
      <protection/>
    </xf>
    <xf numFmtId="164" fontId="17" fillId="0" borderId="16" xfId="89" applyNumberFormat="1" applyFont="1" applyFill="1" applyBorder="1" applyAlignment="1">
      <alignment horizontal="center" vertical="center" wrapText="1"/>
      <protection/>
    </xf>
    <xf numFmtId="2" fontId="2" fillId="0" borderId="16" xfId="89" applyNumberFormat="1" applyFont="1" applyFill="1" applyBorder="1" applyAlignment="1">
      <alignment horizontal="center" vertical="center" wrapText="1"/>
      <protection/>
    </xf>
    <xf numFmtId="49" fontId="33" fillId="0" borderId="16" xfId="89" applyFont="1" applyBorder="1" applyAlignment="1">
      <alignment horizontal="center" vertical="center" wrapText="1"/>
      <protection/>
    </xf>
    <xf numFmtId="164" fontId="34" fillId="0" borderId="16" xfId="89" applyNumberFormat="1" applyFont="1" applyBorder="1" applyAlignment="1">
      <alignment horizontal="center" vertical="center" wrapText="1"/>
      <protection/>
    </xf>
    <xf numFmtId="49" fontId="34" fillId="0" borderId="16" xfId="89" applyFont="1" applyFill="1" applyBorder="1" applyAlignment="1">
      <alignment horizontal="center" vertical="center" wrapText="1"/>
      <protection/>
    </xf>
    <xf numFmtId="49" fontId="34" fillId="0" borderId="16" xfId="89" applyNumberFormat="1" applyFont="1" applyFill="1" applyBorder="1" applyAlignment="1">
      <alignment horizontal="center" vertical="center" wrapText="1"/>
      <protection/>
    </xf>
    <xf numFmtId="49" fontId="33" fillId="0" borderId="16" xfId="89" applyNumberFormat="1" applyFont="1" applyFill="1" applyBorder="1" applyAlignment="1">
      <alignment horizontal="center" vertical="center" wrapText="1"/>
      <protection/>
    </xf>
    <xf numFmtId="164" fontId="33" fillId="0" borderId="16" xfId="89" applyNumberFormat="1" applyFont="1" applyBorder="1" applyAlignment="1">
      <alignment horizontal="center" vertical="center" wrapText="1"/>
      <protection/>
    </xf>
    <xf numFmtId="166" fontId="33" fillId="0" borderId="16" xfId="89" applyNumberFormat="1" applyFont="1" applyBorder="1" applyAlignment="1">
      <alignment horizontal="center" vertical="center" wrapText="1"/>
      <protection/>
    </xf>
    <xf numFmtId="49" fontId="33" fillId="0" borderId="16" xfId="89" applyFont="1" applyFill="1" applyBorder="1" applyAlignment="1">
      <alignment horizontal="center" vertical="center" wrapText="1"/>
      <protection/>
    </xf>
    <xf numFmtId="166" fontId="34" fillId="0" borderId="16" xfId="89" applyNumberFormat="1" applyFont="1" applyBorder="1" applyAlignment="1">
      <alignment horizontal="center" vertical="center" wrapText="1"/>
      <protection/>
    </xf>
    <xf numFmtId="9" fontId="33" fillId="0" borderId="16" xfId="89" applyNumberFormat="1" applyFont="1" applyBorder="1" applyAlignment="1">
      <alignment horizontal="center" vertical="center" wrapText="1"/>
      <protection/>
    </xf>
    <xf numFmtId="49" fontId="9" fillId="0" borderId="16" xfId="89" applyFont="1" applyFill="1" applyBorder="1" applyAlignment="1">
      <alignment horizontal="left" vertical="center" wrapText="1"/>
      <protection/>
    </xf>
    <xf numFmtId="49" fontId="11" fillId="0" borderId="0" xfId="89" applyFont="1">
      <alignment vertical="top"/>
      <protection/>
    </xf>
    <xf numFmtId="164" fontId="11" fillId="0" borderId="16" xfId="89" applyNumberFormat="1" applyFont="1" applyFill="1" applyBorder="1" applyAlignment="1">
      <alignment horizontal="center" vertical="center" wrapText="1"/>
      <protection/>
    </xf>
    <xf numFmtId="49" fontId="11" fillId="0" borderId="16" xfId="89" applyFont="1" applyFill="1" applyBorder="1" applyAlignment="1">
      <alignment horizontal="left" vertical="center" wrapText="1"/>
      <protection/>
    </xf>
    <xf numFmtId="0" fontId="9" fillId="0" borderId="16" xfId="89" applyNumberFormat="1" applyFont="1" applyFill="1" applyBorder="1" applyAlignment="1">
      <alignment horizontal="left" vertical="center" wrapText="1"/>
      <protection/>
    </xf>
    <xf numFmtId="49" fontId="9" fillId="0" borderId="0" xfId="89" applyFont="1">
      <alignment vertical="top"/>
      <protection/>
    </xf>
    <xf numFmtId="2" fontId="2" fillId="0" borderId="0" xfId="89" applyNumberFormat="1" applyFont="1" applyFill="1" applyAlignment="1">
      <alignment horizontal="center" vertical="center" wrapText="1"/>
      <protection/>
    </xf>
    <xf numFmtId="2" fontId="2" fillId="0" borderId="0" xfId="89" applyNumberFormat="1" applyFont="1">
      <alignment vertical="top"/>
      <protection/>
    </xf>
    <xf numFmtId="4" fontId="2" fillId="0" borderId="0" xfId="89" applyNumberFormat="1" applyFont="1">
      <alignment vertical="top"/>
      <protection/>
    </xf>
    <xf numFmtId="164" fontId="33" fillId="0" borderId="16" xfId="89" applyNumberFormat="1" applyFont="1" applyFill="1" applyBorder="1" applyAlignment="1">
      <alignment horizontal="center" vertical="center" wrapText="1"/>
      <protection/>
    </xf>
    <xf numFmtId="164" fontId="34" fillId="0" borderId="16" xfId="89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right" vertical="center"/>
    </xf>
    <xf numFmtId="49" fontId="40" fillId="0" borderId="0" xfId="89" applyFont="1" applyBorder="1" applyAlignment="1">
      <alignment horizontal="right"/>
      <protection/>
    </xf>
    <xf numFmtId="0" fontId="41" fillId="0" borderId="0" xfId="0" applyFont="1" applyBorder="1" applyAlignment="1">
      <alignment horizontal="right" vertical="center"/>
    </xf>
    <xf numFmtId="4" fontId="2" fillId="0" borderId="0" xfId="89" applyNumberFormat="1" applyFont="1" applyAlignment="1">
      <alignment horizontal="center" vertical="center" wrapText="1"/>
      <protection/>
    </xf>
    <xf numFmtId="0" fontId="11" fillId="0" borderId="0" xfId="88" applyFont="1" applyAlignment="1">
      <alignment horizontal="center" vertical="center"/>
      <protection/>
    </xf>
    <xf numFmtId="0" fontId="5" fillId="0" borderId="17" xfId="88" applyNumberFormat="1" applyFont="1" applyBorder="1" applyAlignment="1">
      <alignment horizontal="left" vertical="center" wrapText="1"/>
      <protection/>
    </xf>
    <xf numFmtId="0" fontId="5" fillId="0" borderId="18" xfId="88" applyNumberFormat="1" applyFont="1" applyBorder="1" applyAlignment="1">
      <alignment horizontal="left" vertical="center" wrapText="1"/>
      <protection/>
    </xf>
    <xf numFmtId="0" fontId="5" fillId="0" borderId="19" xfId="88" applyNumberFormat="1" applyFont="1" applyBorder="1" applyAlignment="1">
      <alignment horizontal="left" vertical="center" wrapText="1"/>
      <protection/>
    </xf>
    <xf numFmtId="166" fontId="7" fillId="0" borderId="20" xfId="88" applyNumberFormat="1" applyFont="1" applyBorder="1" applyAlignment="1">
      <alignment horizontal="center" vertical="center"/>
      <protection/>
    </xf>
    <xf numFmtId="166" fontId="7" fillId="0" borderId="21" xfId="88" applyNumberFormat="1" applyFont="1" applyBorder="1" applyAlignment="1">
      <alignment horizontal="center" vertical="center"/>
      <protection/>
    </xf>
    <xf numFmtId="166" fontId="7" fillId="0" borderId="22" xfId="88" applyNumberFormat="1" applyFont="1" applyBorder="1" applyAlignment="1">
      <alignment horizontal="center" vertical="center"/>
      <protection/>
    </xf>
    <xf numFmtId="166" fontId="7" fillId="0" borderId="21" xfId="88" applyNumberFormat="1" applyFont="1" applyBorder="1" applyAlignment="1">
      <alignment horizontal="left" vertical="center" wrapText="1"/>
      <protection/>
    </xf>
    <xf numFmtId="166" fontId="7" fillId="0" borderId="23" xfId="88" applyNumberFormat="1" applyFont="1" applyBorder="1" applyAlignment="1">
      <alignment horizontal="left" vertical="center" wrapText="1"/>
      <protection/>
    </xf>
    <xf numFmtId="0" fontId="11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/>
      <protection/>
    </xf>
    <xf numFmtId="166" fontId="7" fillId="0" borderId="20" xfId="88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49" fontId="11" fillId="0" borderId="0" xfId="89" applyFont="1" applyBorder="1" applyAlignment="1">
      <alignment horizontal="center" vertical="center"/>
      <protection/>
    </xf>
    <xf numFmtId="49" fontId="3" fillId="0" borderId="0" xfId="89" applyFont="1" applyBorder="1" applyAlignment="1">
      <alignment horizontal="right"/>
      <protection/>
    </xf>
    <xf numFmtId="49" fontId="6" fillId="0" borderId="16" xfId="89" applyFont="1" applyFill="1" applyBorder="1" applyAlignment="1">
      <alignment horizontal="center" vertical="center" wrapText="1"/>
      <protection/>
    </xf>
    <xf numFmtId="49" fontId="6" fillId="0" borderId="16" xfId="89" applyFont="1" applyFill="1" applyBorder="1" applyAlignment="1">
      <alignment horizontal="center" vertical="center" wrapText="1"/>
      <protection/>
    </xf>
    <xf numFmtId="49" fontId="2" fillId="0" borderId="0" xfId="89" applyFont="1" applyBorder="1" applyAlignment="1">
      <alignment horizontal="center" vertical="center" wrapText="1"/>
      <protection/>
    </xf>
    <xf numFmtId="49" fontId="3" fillId="0" borderId="0" xfId="89" applyNumberFormat="1" applyFont="1" applyBorder="1" applyAlignment="1">
      <alignment horizontal="center"/>
      <protection/>
    </xf>
    <xf numFmtId="49" fontId="3" fillId="0" borderId="0" xfId="89" applyFont="1" applyBorder="1" applyAlignment="1">
      <alignment horizontal="left"/>
      <protection/>
    </xf>
    <xf numFmtId="0" fontId="29" fillId="0" borderId="0" xfId="0" applyFont="1" applyBorder="1" applyAlignment="1">
      <alignment horizontal="right" vertical="center" wrapText="1"/>
    </xf>
    <xf numFmtId="49" fontId="3" fillId="0" borderId="11" xfId="89" applyNumberFormat="1" applyFont="1" applyBorder="1" applyAlignment="1">
      <alignment horizontal="left"/>
      <protection/>
    </xf>
    <xf numFmtId="49" fontId="35" fillId="0" borderId="0" xfId="89" applyFont="1" applyFill="1" applyBorder="1" applyAlignment="1">
      <alignment horizontal="center" vertical="center" wrapText="1"/>
      <protection/>
    </xf>
    <xf numFmtId="49" fontId="5" fillId="0" borderId="16" xfId="89" applyFont="1" applyFill="1" applyBorder="1" applyAlignment="1">
      <alignment horizontal="center" vertical="center" wrapText="1"/>
      <protection/>
    </xf>
    <xf numFmtId="49" fontId="34" fillId="0" borderId="16" xfId="89" applyFont="1" applyFill="1" applyBorder="1" applyAlignment="1">
      <alignment horizontal="center" vertical="center" wrapText="1"/>
      <protection/>
    </xf>
    <xf numFmtId="49" fontId="30" fillId="0" borderId="0" xfId="89" applyFont="1" applyFill="1" applyBorder="1" applyAlignment="1">
      <alignment horizontal="center" vertical="center" wrapText="1"/>
      <protection/>
    </xf>
    <xf numFmtId="49" fontId="9" fillId="0" borderId="0" xfId="89" applyFont="1" applyFill="1" applyBorder="1" applyAlignment="1">
      <alignment horizontal="center" vertical="center" wrapText="1"/>
      <protection/>
    </xf>
    <xf numFmtId="49" fontId="2" fillId="0" borderId="0" xfId="89" applyFont="1" applyBorder="1" applyAlignment="1">
      <alignment horizontal="right" vertical="center"/>
      <protection/>
    </xf>
    <xf numFmtId="0" fontId="31" fillId="0" borderId="0" xfId="0" applyFont="1" applyBorder="1" applyAlignment="1">
      <alignment horizontal="right" vertical="center" wrapText="1"/>
    </xf>
    <xf numFmtId="49" fontId="2" fillId="0" borderId="24" xfId="89" applyFont="1" applyBorder="1" applyAlignment="1">
      <alignment horizontal="center" vertical="center"/>
      <protection/>
    </xf>
    <xf numFmtId="49" fontId="2" fillId="0" borderId="0" xfId="89" applyFont="1" applyBorder="1" applyAlignment="1">
      <alignment horizontal="center" vertical="center"/>
      <protection/>
    </xf>
    <xf numFmtId="49" fontId="39" fillId="0" borderId="0" xfId="89" applyFont="1" applyBorder="1" applyAlignment="1">
      <alignment horizontal="right" vertical="center"/>
      <protection/>
    </xf>
    <xf numFmtId="49" fontId="11" fillId="0" borderId="0" xfId="89" applyFont="1" applyBorder="1" applyAlignment="1">
      <alignment horizontal="center" vertical="center"/>
      <protection/>
    </xf>
    <xf numFmtId="49" fontId="34" fillId="0" borderId="16" xfId="89" applyFont="1" applyBorder="1" applyAlignment="1">
      <alignment horizontal="center" vertical="center" wrapText="1"/>
      <protection/>
    </xf>
    <xf numFmtId="49" fontId="11" fillId="0" borderId="16" xfId="89" applyFont="1" applyBorder="1" applyAlignment="1">
      <alignment horizontal="center" vertical="center" wrapText="1"/>
      <protection/>
    </xf>
    <xf numFmtId="49" fontId="33" fillId="0" borderId="16" xfId="89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right" vertical="center" wrapText="1"/>
    </xf>
    <xf numFmtId="166" fontId="7" fillId="0" borderId="25" xfId="88" applyNumberFormat="1" applyFont="1" applyBorder="1" applyAlignment="1">
      <alignment horizontal="center" vertical="center"/>
      <protection/>
    </xf>
    <xf numFmtId="49" fontId="7" fillId="0" borderId="26" xfId="88" applyNumberFormat="1" applyFont="1" applyBorder="1" applyAlignment="1">
      <alignment horizontal="center" vertical="center"/>
      <protection/>
    </xf>
    <xf numFmtId="49" fontId="7" fillId="0" borderId="21" xfId="88" applyNumberFormat="1" applyFont="1" applyBorder="1" applyAlignment="1">
      <alignment horizontal="center" vertical="center"/>
      <protection/>
    </xf>
    <xf numFmtId="0" fontId="7" fillId="0" borderId="26" xfId="88" applyNumberFormat="1" applyFont="1" applyBorder="1" applyAlignment="1">
      <alignment horizontal="right" vertical="center" wrapText="1"/>
      <protection/>
    </xf>
    <xf numFmtId="0" fontId="7" fillId="0" borderId="21" xfId="88" applyNumberFormat="1" applyFont="1" applyBorder="1" applyAlignment="1">
      <alignment horizontal="right" vertical="center" wrapText="1"/>
      <protection/>
    </xf>
    <xf numFmtId="0" fontId="7" fillId="0" borderId="23" xfId="88" applyNumberFormat="1" applyFont="1" applyBorder="1" applyAlignment="1">
      <alignment horizontal="right" vertical="center" wrapText="1"/>
      <protection/>
    </xf>
    <xf numFmtId="166" fontId="7" fillId="0" borderId="13" xfId="88" applyNumberFormat="1" applyFont="1" applyBorder="1" applyAlignment="1">
      <alignment horizontal="center" vertical="center"/>
      <protection/>
    </xf>
    <xf numFmtId="166" fontId="7" fillId="0" borderId="27" xfId="88" applyNumberFormat="1" applyFont="1" applyBorder="1" applyAlignment="1">
      <alignment horizontal="center" vertical="center"/>
      <protection/>
    </xf>
    <xf numFmtId="166" fontId="7" fillId="0" borderId="28" xfId="88" applyNumberFormat="1" applyFont="1" applyBorder="1" applyAlignment="1">
      <alignment horizontal="center" vertical="center"/>
      <protection/>
    </xf>
    <xf numFmtId="0" fontId="7" fillId="0" borderId="13" xfId="88" applyFont="1" applyBorder="1" applyAlignment="1">
      <alignment horizontal="left" vertical="center" wrapText="1"/>
      <protection/>
    </xf>
    <xf numFmtId="0" fontId="7" fillId="0" borderId="27" xfId="88" applyFont="1" applyBorder="1" applyAlignment="1">
      <alignment horizontal="left" vertical="center" wrapText="1"/>
      <protection/>
    </xf>
    <xf numFmtId="0" fontId="7" fillId="0" borderId="29" xfId="88" applyFont="1" applyBorder="1" applyAlignment="1">
      <alignment horizontal="left" vertical="center" wrapText="1"/>
      <protection/>
    </xf>
    <xf numFmtId="49" fontId="7" fillId="0" borderId="30" xfId="88" applyNumberFormat="1" applyFont="1" applyBorder="1" applyAlignment="1">
      <alignment horizontal="center" vertical="center"/>
      <protection/>
    </xf>
    <xf numFmtId="49" fontId="7" fillId="0" borderId="27" xfId="88" applyNumberFormat="1" applyFont="1" applyBorder="1" applyAlignment="1">
      <alignment horizontal="center" vertical="center"/>
      <protection/>
    </xf>
    <xf numFmtId="0" fontId="7" fillId="0" borderId="30" xfId="88" applyNumberFormat="1" applyFont="1" applyBorder="1" applyAlignment="1">
      <alignment horizontal="right" vertical="center" wrapText="1"/>
      <protection/>
    </xf>
    <xf numFmtId="0" fontId="7" fillId="0" borderId="27" xfId="88" applyNumberFormat="1" applyFont="1" applyBorder="1" applyAlignment="1">
      <alignment horizontal="right" vertical="center" wrapText="1"/>
      <protection/>
    </xf>
    <xf numFmtId="0" fontId="7" fillId="0" borderId="29" xfId="88" applyNumberFormat="1" applyFont="1" applyBorder="1" applyAlignment="1">
      <alignment horizontal="right" vertical="center" wrapText="1"/>
      <protection/>
    </xf>
    <xf numFmtId="0" fontId="7" fillId="0" borderId="30" xfId="88" applyNumberFormat="1" applyFont="1" applyBorder="1" applyAlignment="1">
      <alignment horizontal="left" vertical="center" wrapText="1"/>
      <protection/>
    </xf>
    <xf numFmtId="0" fontId="7" fillId="0" borderId="27" xfId="88" applyNumberFormat="1" applyFont="1" applyBorder="1" applyAlignment="1">
      <alignment horizontal="left" vertical="center" wrapText="1"/>
      <protection/>
    </xf>
    <xf numFmtId="0" fontId="7" fillId="0" borderId="29" xfId="88" applyNumberFormat="1" applyFont="1" applyBorder="1" applyAlignment="1">
      <alignment horizontal="left" vertical="center" wrapText="1"/>
      <protection/>
    </xf>
    <xf numFmtId="0" fontId="7" fillId="0" borderId="31" xfId="88" applyFont="1" applyBorder="1" applyAlignment="1">
      <alignment horizontal="left" vertical="center" wrapText="1"/>
      <protection/>
    </xf>
    <xf numFmtId="0" fontId="7" fillId="0" borderId="32" xfId="88" applyFont="1" applyBorder="1" applyAlignment="1">
      <alignment horizontal="left" vertical="center" wrapText="1"/>
      <protection/>
    </xf>
    <xf numFmtId="0" fontId="7" fillId="0" borderId="33" xfId="88" applyFont="1" applyBorder="1" applyAlignment="1">
      <alignment horizontal="left" vertical="center" wrapText="1"/>
      <protection/>
    </xf>
    <xf numFmtId="49" fontId="5" fillId="0" borderId="17" xfId="88" applyNumberFormat="1" applyFont="1" applyBorder="1" applyAlignment="1">
      <alignment horizontal="center" vertical="center"/>
      <protection/>
    </xf>
    <xf numFmtId="49" fontId="5" fillId="0" borderId="18" xfId="88" applyNumberFormat="1" applyFont="1" applyBorder="1" applyAlignment="1">
      <alignment horizontal="center" vertical="center"/>
      <protection/>
    </xf>
    <xf numFmtId="166" fontId="5" fillId="0" borderId="18" xfId="88" applyNumberFormat="1" applyFont="1" applyBorder="1" applyAlignment="1">
      <alignment horizontal="center" vertical="center"/>
      <protection/>
    </xf>
    <xf numFmtId="166" fontId="5" fillId="0" borderId="34" xfId="88" applyNumberFormat="1" applyFont="1" applyBorder="1" applyAlignment="1">
      <alignment horizontal="center" vertical="center"/>
      <protection/>
    </xf>
    <xf numFmtId="166" fontId="5" fillId="0" borderId="35" xfId="88" applyNumberFormat="1" applyFont="1" applyBorder="1" applyAlignment="1">
      <alignment horizontal="center" vertical="center"/>
      <protection/>
    </xf>
    <xf numFmtId="166" fontId="7" fillId="0" borderId="31" xfId="88" applyNumberFormat="1" applyFont="1" applyBorder="1" applyAlignment="1">
      <alignment horizontal="center" vertical="center"/>
      <protection/>
    </xf>
    <xf numFmtId="166" fontId="7" fillId="0" borderId="32" xfId="88" applyNumberFormat="1" applyFont="1" applyBorder="1" applyAlignment="1">
      <alignment horizontal="center" vertical="center"/>
      <protection/>
    </xf>
    <xf numFmtId="166" fontId="7" fillId="0" borderId="36" xfId="88" applyNumberFormat="1" applyFont="1" applyBorder="1" applyAlignment="1">
      <alignment horizontal="center" vertical="center"/>
      <protection/>
    </xf>
    <xf numFmtId="49" fontId="7" fillId="0" borderId="37" xfId="88" applyNumberFormat="1" applyFont="1" applyBorder="1" applyAlignment="1">
      <alignment horizontal="center" vertical="center"/>
      <protection/>
    </xf>
    <xf numFmtId="49" fontId="7" fillId="0" borderId="32" xfId="88" applyNumberFormat="1" applyFont="1" applyBorder="1" applyAlignment="1">
      <alignment horizontal="center" vertical="center"/>
      <protection/>
    </xf>
    <xf numFmtId="0" fontId="7" fillId="0" borderId="37" xfId="88" applyNumberFormat="1" applyFont="1" applyBorder="1" applyAlignment="1">
      <alignment horizontal="left" vertical="center" wrapText="1"/>
      <protection/>
    </xf>
    <xf numFmtId="0" fontId="7" fillId="0" borderId="32" xfId="88" applyNumberFormat="1" applyFont="1" applyBorder="1" applyAlignment="1">
      <alignment horizontal="left" vertical="center" wrapText="1"/>
      <protection/>
    </xf>
    <xf numFmtId="0" fontId="7" fillId="0" borderId="33" xfId="88" applyNumberFormat="1" applyFont="1" applyBorder="1" applyAlignment="1">
      <alignment horizontal="left" vertical="center" wrapText="1"/>
      <protection/>
    </xf>
    <xf numFmtId="166" fontId="7" fillId="0" borderId="35" xfId="88" applyNumberFormat="1" applyFont="1" applyBorder="1" applyAlignment="1">
      <alignment horizontal="center" vertical="center"/>
      <protection/>
    </xf>
    <xf numFmtId="166" fontId="7" fillId="0" borderId="18" xfId="88" applyNumberFormat="1" applyFont="1" applyBorder="1" applyAlignment="1">
      <alignment horizontal="center" vertical="center"/>
      <protection/>
    </xf>
    <xf numFmtId="166" fontId="7" fillId="0" borderId="34" xfId="88" applyNumberFormat="1" applyFont="1" applyBorder="1" applyAlignment="1">
      <alignment horizontal="center" vertical="center"/>
      <protection/>
    </xf>
    <xf numFmtId="0" fontId="7" fillId="0" borderId="35" xfId="88" applyFont="1" applyBorder="1" applyAlignment="1">
      <alignment horizontal="left" vertical="center" wrapText="1"/>
      <protection/>
    </xf>
    <xf numFmtId="0" fontId="7" fillId="0" borderId="18" xfId="88" applyFont="1" applyBorder="1" applyAlignment="1">
      <alignment horizontal="left" vertical="center" wrapText="1"/>
      <protection/>
    </xf>
    <xf numFmtId="0" fontId="7" fillId="0" borderId="19" xfId="88" applyFont="1" applyBorder="1" applyAlignment="1">
      <alignment horizontal="left" vertical="center" wrapText="1"/>
      <protection/>
    </xf>
    <xf numFmtId="49" fontId="7" fillId="0" borderId="17" xfId="88" applyNumberFormat="1" applyFont="1" applyBorder="1" applyAlignment="1">
      <alignment horizontal="center" vertical="center"/>
      <protection/>
    </xf>
    <xf numFmtId="49" fontId="7" fillId="0" borderId="18" xfId="88" applyNumberFormat="1" applyFont="1" applyBorder="1" applyAlignment="1">
      <alignment horizontal="center" vertical="center"/>
      <protection/>
    </xf>
    <xf numFmtId="0" fontId="7" fillId="0" borderId="17" xfId="88" applyNumberFormat="1" applyFont="1" applyBorder="1" applyAlignment="1">
      <alignment horizontal="left" vertical="center" wrapText="1"/>
      <protection/>
    </xf>
    <xf numFmtId="0" fontId="7" fillId="0" borderId="18" xfId="88" applyNumberFormat="1" applyFont="1" applyBorder="1" applyAlignment="1">
      <alignment horizontal="left" vertical="center" wrapText="1"/>
      <protection/>
    </xf>
    <xf numFmtId="0" fontId="7" fillId="0" borderId="19" xfId="88" applyNumberFormat="1" applyFont="1" applyBorder="1" applyAlignment="1">
      <alignment horizontal="left" vertical="center" wrapText="1"/>
      <protection/>
    </xf>
    <xf numFmtId="166" fontId="7" fillId="0" borderId="13" xfId="88" applyNumberFormat="1" applyFont="1" applyFill="1" applyBorder="1" applyAlignment="1">
      <alignment horizontal="center" vertical="center"/>
      <protection/>
    </xf>
    <xf numFmtId="166" fontId="7" fillId="0" borderId="27" xfId="88" applyNumberFormat="1" applyFont="1" applyFill="1" applyBorder="1" applyAlignment="1">
      <alignment horizontal="center" vertical="center"/>
      <protection/>
    </xf>
    <xf numFmtId="166" fontId="7" fillId="0" borderId="28" xfId="88" applyNumberFormat="1" applyFont="1" applyFill="1" applyBorder="1" applyAlignment="1">
      <alignment horizontal="center" vertical="center"/>
      <protection/>
    </xf>
    <xf numFmtId="166" fontId="7" fillId="0" borderId="38" xfId="88" applyNumberFormat="1" applyFont="1" applyBorder="1" applyAlignment="1">
      <alignment horizontal="center" vertical="center"/>
      <protection/>
    </xf>
    <xf numFmtId="166" fontId="7" fillId="0" borderId="15" xfId="88" applyNumberFormat="1" applyFont="1" applyBorder="1" applyAlignment="1">
      <alignment horizontal="center" vertical="center"/>
      <protection/>
    </xf>
    <xf numFmtId="166" fontId="7" fillId="0" borderId="12" xfId="88" applyNumberFormat="1" applyFont="1" applyBorder="1" applyAlignment="1">
      <alignment horizontal="center" vertical="center"/>
      <protection/>
    </xf>
    <xf numFmtId="166" fontId="7" fillId="0" borderId="39" xfId="88" applyNumberFormat="1" applyFont="1" applyBorder="1" applyAlignment="1">
      <alignment horizontal="center" vertical="center"/>
      <protection/>
    </xf>
    <xf numFmtId="0" fontId="7" fillId="0" borderId="15" xfId="88" applyFont="1" applyBorder="1" applyAlignment="1">
      <alignment horizontal="left" vertical="center" wrapText="1"/>
      <protection/>
    </xf>
    <xf numFmtId="0" fontId="7" fillId="0" borderId="12" xfId="88" applyFont="1" applyBorder="1" applyAlignment="1">
      <alignment horizontal="left" vertical="center" wrapText="1"/>
      <protection/>
    </xf>
    <xf numFmtId="0" fontId="7" fillId="0" borderId="40" xfId="88" applyFont="1" applyBorder="1" applyAlignment="1">
      <alignment horizontal="left" vertical="center" wrapText="1"/>
      <protection/>
    </xf>
    <xf numFmtId="0" fontId="7" fillId="0" borderId="41" xfId="88" applyNumberFormat="1" applyFont="1" applyBorder="1" applyAlignment="1">
      <alignment horizontal="left" vertical="center" wrapText="1"/>
      <protection/>
    </xf>
    <xf numFmtId="0" fontId="7" fillId="0" borderId="12" xfId="88" applyNumberFormat="1" applyFont="1" applyBorder="1" applyAlignment="1">
      <alignment horizontal="left" vertical="center" wrapText="1"/>
      <protection/>
    </xf>
    <xf numFmtId="0" fontId="7" fillId="0" borderId="40" xfId="88" applyNumberFormat="1" applyFont="1" applyBorder="1" applyAlignment="1">
      <alignment horizontal="left" vertical="center" wrapText="1"/>
      <protection/>
    </xf>
    <xf numFmtId="0" fontId="5" fillId="0" borderId="35" xfId="88" applyFont="1" applyBorder="1" applyAlignment="1">
      <alignment horizontal="left" vertical="center" wrapText="1"/>
      <protection/>
    </xf>
    <xf numFmtId="0" fontId="5" fillId="0" borderId="18" xfId="88" applyFont="1" applyBorder="1" applyAlignment="1">
      <alignment horizontal="left" vertical="center" wrapText="1"/>
      <protection/>
    </xf>
    <xf numFmtId="0" fontId="5" fillId="0" borderId="19" xfId="88" applyFont="1" applyBorder="1" applyAlignment="1">
      <alignment horizontal="left" vertical="center" wrapText="1"/>
      <protection/>
    </xf>
    <xf numFmtId="0" fontId="12" fillId="0" borderId="42" xfId="88" applyFont="1" applyBorder="1" applyAlignment="1">
      <alignment horizontal="center" vertical="center" wrapText="1"/>
      <protection/>
    </xf>
    <xf numFmtId="0" fontId="12" fillId="0" borderId="43" xfId="88" applyFont="1" applyBorder="1" applyAlignment="1">
      <alignment horizontal="center" vertical="center" wrapText="1"/>
      <protection/>
    </xf>
    <xf numFmtId="0" fontId="12" fillId="0" borderId="44" xfId="88" applyFont="1" applyBorder="1" applyAlignment="1">
      <alignment horizontal="center" vertical="center" wrapText="1"/>
      <protection/>
    </xf>
    <xf numFmtId="0" fontId="12" fillId="0" borderId="14" xfId="88" applyFont="1" applyBorder="1" applyAlignment="1">
      <alignment horizontal="center" vertical="center" wrapText="1"/>
      <protection/>
    </xf>
    <xf numFmtId="0" fontId="12" fillId="0" borderId="0" xfId="88" applyFont="1" applyBorder="1" applyAlignment="1">
      <alignment horizontal="center" vertical="center" wrapText="1"/>
      <protection/>
    </xf>
    <xf numFmtId="0" fontId="12" fillId="0" borderId="45" xfId="88" applyFont="1" applyBorder="1" applyAlignment="1">
      <alignment horizontal="center" vertical="center" wrapText="1"/>
      <protection/>
    </xf>
    <xf numFmtId="0" fontId="12" fillId="0" borderId="46" xfId="88" applyFont="1" applyBorder="1" applyAlignment="1">
      <alignment horizontal="center" vertical="center" wrapText="1"/>
      <protection/>
    </xf>
    <xf numFmtId="0" fontId="12" fillId="0" borderId="47" xfId="88" applyFont="1" applyBorder="1" applyAlignment="1">
      <alignment horizontal="center" vertical="center" wrapText="1"/>
      <protection/>
    </xf>
    <xf numFmtId="0" fontId="12" fillId="0" borderId="48" xfId="88" applyFont="1" applyBorder="1" applyAlignment="1">
      <alignment horizontal="center" vertical="center" wrapText="1"/>
      <protection/>
    </xf>
    <xf numFmtId="0" fontId="3" fillId="0" borderId="12" xfId="88" applyFont="1" applyBorder="1" applyAlignment="1">
      <alignment horizontal="center"/>
      <protection/>
    </xf>
    <xf numFmtId="0" fontId="7" fillId="0" borderId="32" xfId="88" applyFont="1" applyBorder="1" applyAlignment="1">
      <alignment horizontal="center" vertical="top"/>
      <protection/>
    </xf>
    <xf numFmtId="0" fontId="3" fillId="0" borderId="0" xfId="88" applyFont="1" applyAlignment="1">
      <alignment horizontal="right"/>
      <protection/>
    </xf>
    <xf numFmtId="49" fontId="3" fillId="0" borderId="12" xfId="88" applyNumberFormat="1" applyFont="1" applyBorder="1" applyAlignment="1">
      <alignment horizontal="center"/>
      <protection/>
    </xf>
    <xf numFmtId="0" fontId="3" fillId="0" borderId="0" xfId="88" applyFont="1" applyAlignment="1">
      <alignment horizontal="left"/>
      <protection/>
    </xf>
    <xf numFmtId="0" fontId="12" fillId="0" borderId="20" xfId="88" applyFont="1" applyBorder="1" applyAlignment="1">
      <alignment horizontal="center" vertical="center"/>
      <protection/>
    </xf>
    <xf numFmtId="0" fontId="12" fillId="0" borderId="21" xfId="88" applyFont="1" applyBorder="1" applyAlignment="1">
      <alignment horizontal="center" vertical="center"/>
      <protection/>
    </xf>
    <xf numFmtId="0" fontId="12" fillId="0" borderId="22" xfId="88" applyFont="1" applyBorder="1" applyAlignment="1">
      <alignment horizontal="center" vertical="center"/>
      <protection/>
    </xf>
    <xf numFmtId="49" fontId="3" fillId="0" borderId="12" xfId="88" applyNumberFormat="1" applyFont="1" applyBorder="1" applyAlignment="1">
      <alignment horizontal="left"/>
      <protection/>
    </xf>
    <xf numFmtId="49" fontId="7" fillId="0" borderId="41" xfId="88" applyNumberFormat="1" applyFont="1" applyBorder="1" applyAlignment="1">
      <alignment horizontal="center" vertical="center"/>
      <protection/>
    </xf>
    <xf numFmtId="49" fontId="7" fillId="0" borderId="12" xfId="88" applyNumberFormat="1" applyFont="1" applyBorder="1" applyAlignment="1">
      <alignment horizontal="center" vertical="center"/>
      <protection/>
    </xf>
    <xf numFmtId="0" fontId="33" fillId="0" borderId="0" xfId="88" applyFont="1" applyAlignment="1">
      <alignment horizontal="right" wrapText="1"/>
      <protection/>
    </xf>
    <xf numFmtId="0" fontId="36" fillId="0" borderId="0" xfId="88" applyFont="1" applyAlignment="1">
      <alignment/>
      <protection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  <xf numFmtId="0" fontId="12" fillId="0" borderId="51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34" xfId="88" applyFont="1" applyBorder="1" applyAlignment="1">
      <alignment horizontal="center" vertical="center" wrapText="1"/>
      <protection/>
    </xf>
    <xf numFmtId="0" fontId="12" fillId="0" borderId="27" xfId="88" applyFont="1" applyBorder="1" applyAlignment="1">
      <alignment horizontal="center" vertical="center"/>
      <protection/>
    </xf>
    <xf numFmtId="0" fontId="12" fillId="0" borderId="28" xfId="88" applyFont="1" applyBorder="1" applyAlignment="1">
      <alignment horizontal="center" vertical="center"/>
      <protection/>
    </xf>
    <xf numFmtId="0" fontId="12" fillId="0" borderId="13" xfId="88" applyFont="1" applyBorder="1" applyAlignment="1">
      <alignment horizontal="center" vertical="center"/>
      <protection/>
    </xf>
    <xf numFmtId="49" fontId="2" fillId="0" borderId="12" xfId="88" applyNumberFormat="1" applyFont="1" applyBorder="1" applyAlignment="1">
      <alignment horizontal="left"/>
      <protection/>
    </xf>
    <xf numFmtId="0" fontId="6" fillId="0" borderId="13" xfId="88" applyFont="1" applyBorder="1" applyAlignment="1">
      <alignment horizontal="center" vertical="center"/>
      <protection/>
    </xf>
    <xf numFmtId="0" fontId="6" fillId="0" borderId="27" xfId="88" applyFont="1" applyBorder="1" applyAlignment="1">
      <alignment horizontal="center" vertical="center"/>
      <protection/>
    </xf>
    <xf numFmtId="0" fontId="6" fillId="0" borderId="28" xfId="88" applyFont="1" applyBorder="1" applyAlignment="1">
      <alignment horizontal="center" vertical="center"/>
      <protection/>
    </xf>
    <xf numFmtId="0" fontId="7" fillId="0" borderId="0" xfId="88" applyFont="1" applyBorder="1" applyAlignment="1">
      <alignment horizontal="right"/>
      <protection/>
    </xf>
    <xf numFmtId="0" fontId="2" fillId="0" borderId="27" xfId="88" applyFont="1" applyFill="1" applyBorder="1" applyAlignment="1">
      <alignment horizontal="left" vertical="center"/>
      <protection/>
    </xf>
    <xf numFmtId="0" fontId="2" fillId="0" borderId="28" xfId="88" applyFont="1" applyFill="1" applyBorder="1" applyAlignment="1">
      <alignment horizontal="left" vertical="center"/>
      <protection/>
    </xf>
    <xf numFmtId="0" fontId="2" fillId="0" borderId="12" xfId="88" applyFont="1" applyBorder="1" applyAlignment="1">
      <alignment horizontal="center"/>
      <protection/>
    </xf>
    <xf numFmtId="0" fontId="2" fillId="0" borderId="0" xfId="88" applyFont="1" applyAlignment="1">
      <alignment horizontal="right"/>
      <protection/>
    </xf>
    <xf numFmtId="49" fontId="2" fillId="0" borderId="12" xfId="88" applyNumberFormat="1" applyFont="1" applyBorder="1" applyAlignment="1">
      <alignment horizontal="center"/>
      <protection/>
    </xf>
    <xf numFmtId="0" fontId="2" fillId="0" borderId="0" xfId="88" applyFont="1" applyAlignment="1">
      <alignment horizontal="left"/>
      <protection/>
    </xf>
    <xf numFmtId="0" fontId="6" fillId="0" borderId="0" xfId="88" applyFont="1" applyAlignment="1">
      <alignment horizontal="right"/>
      <protection/>
    </xf>
    <xf numFmtId="0" fontId="6" fillId="9" borderId="13" xfId="88" applyFont="1" applyFill="1" applyBorder="1" applyAlignment="1">
      <alignment horizontal="center" vertical="center"/>
      <protection/>
    </xf>
    <xf numFmtId="0" fontId="6" fillId="9" borderId="27" xfId="88" applyFont="1" applyFill="1" applyBorder="1" applyAlignment="1">
      <alignment horizontal="center" vertical="center"/>
      <protection/>
    </xf>
    <xf numFmtId="0" fontId="6" fillId="9" borderId="28" xfId="88" applyFont="1" applyFill="1" applyBorder="1" applyAlignment="1">
      <alignment horizontal="center" vertical="center"/>
      <protection/>
    </xf>
    <xf numFmtId="0" fontId="6" fillId="9" borderId="13" xfId="88" applyFont="1" applyFill="1" applyBorder="1" applyAlignment="1">
      <alignment horizontal="center" vertical="center" wrapText="1"/>
      <protection/>
    </xf>
    <xf numFmtId="0" fontId="6" fillId="9" borderId="27" xfId="88" applyFont="1" applyFill="1" applyBorder="1" applyAlignment="1">
      <alignment horizontal="center" vertical="center" wrapText="1"/>
      <protection/>
    </xf>
    <xf numFmtId="0" fontId="6" fillId="9" borderId="28" xfId="88" applyFont="1" applyFill="1" applyBorder="1" applyAlignment="1">
      <alignment horizontal="center" vertical="center" wrapText="1"/>
      <protection/>
    </xf>
    <xf numFmtId="0" fontId="2" fillId="0" borderId="15" xfId="88" applyFont="1" applyFill="1" applyBorder="1" applyAlignment="1">
      <alignment horizontal="left" vertical="center"/>
      <protection/>
    </xf>
    <xf numFmtId="0" fontId="2" fillId="0" borderId="12" xfId="88" applyFont="1" applyFill="1" applyBorder="1" applyAlignment="1">
      <alignment horizontal="left" vertical="center"/>
      <protection/>
    </xf>
    <xf numFmtId="0" fontId="7" fillId="0" borderId="0" xfId="88" applyFont="1" applyAlignment="1">
      <alignment horizontal="right" wrapText="1"/>
      <protection/>
    </xf>
    <xf numFmtId="49" fontId="6" fillId="0" borderId="12" xfId="88" applyNumberFormat="1" applyFont="1" applyBorder="1" applyAlignment="1">
      <alignment horizontal="center"/>
      <protection/>
    </xf>
    <xf numFmtId="0" fontId="6" fillId="0" borderId="0" xfId="88" applyFont="1">
      <alignment/>
      <protection/>
    </xf>
    <xf numFmtId="0" fontId="6" fillId="0" borderId="0" xfId="88" applyFont="1" applyAlignment="1">
      <alignment horizontal="center"/>
      <protection/>
    </xf>
    <xf numFmtId="0" fontId="2" fillId="0" borderId="13" xfId="88" applyFont="1" applyFill="1" applyBorder="1" applyAlignment="1">
      <alignment horizontal="left" vertical="center"/>
      <protection/>
    </xf>
    <xf numFmtId="0" fontId="2" fillId="0" borderId="27" xfId="88" applyFont="1" applyFill="1" applyBorder="1" applyAlignment="1">
      <alignment horizontal="left" vertical="center" wrapText="1"/>
      <protection/>
    </xf>
    <xf numFmtId="0" fontId="2" fillId="0" borderId="28" xfId="88" applyFont="1" applyFill="1" applyBorder="1" applyAlignment="1">
      <alignment horizontal="left" vertical="center" wrapText="1"/>
      <protection/>
    </xf>
    <xf numFmtId="0" fontId="2" fillId="0" borderId="31" xfId="88" applyFont="1" applyFill="1" applyBorder="1" applyAlignment="1">
      <alignment horizontal="center" vertical="center" wrapText="1"/>
      <protection/>
    </xf>
    <xf numFmtId="0" fontId="2" fillId="0" borderId="32" xfId="88" applyFont="1" applyFill="1" applyBorder="1" applyAlignment="1">
      <alignment horizontal="center" vertical="center" wrapText="1"/>
      <protection/>
    </xf>
    <xf numFmtId="0" fontId="0" fillId="0" borderId="32" xfId="88" applyBorder="1" applyAlignment="1">
      <alignment horizontal="center" vertical="center" wrapText="1"/>
      <protection/>
    </xf>
    <xf numFmtId="0" fontId="0" fillId="0" borderId="36" xfId="88" applyBorder="1" applyAlignment="1">
      <alignment horizontal="center" vertical="center" wrapText="1"/>
      <protection/>
    </xf>
    <xf numFmtId="0" fontId="0" fillId="0" borderId="14" xfId="88" applyBorder="1" applyAlignment="1">
      <alignment horizontal="center" vertical="center" wrapText="1"/>
      <protection/>
    </xf>
    <xf numFmtId="0" fontId="0" fillId="0" borderId="0" xfId="88" applyAlignment="1">
      <alignment horizontal="center" vertical="center" wrapText="1"/>
      <protection/>
    </xf>
    <xf numFmtId="0" fontId="0" fillId="0" borderId="52" xfId="88" applyBorder="1" applyAlignment="1">
      <alignment horizontal="center" vertical="center" wrapText="1"/>
      <protection/>
    </xf>
    <xf numFmtId="0" fontId="0" fillId="0" borderId="15" xfId="88" applyBorder="1" applyAlignment="1">
      <alignment horizontal="center" vertical="center" wrapText="1"/>
      <protection/>
    </xf>
    <xf numFmtId="0" fontId="0" fillId="0" borderId="12" xfId="88" applyBorder="1" applyAlignment="1">
      <alignment horizontal="center" vertical="center" wrapText="1"/>
      <protection/>
    </xf>
    <xf numFmtId="0" fontId="0" fillId="0" borderId="39" xfId="88" applyBorder="1" applyAlignment="1">
      <alignment horizontal="center" vertical="center" wrapText="1"/>
      <protection/>
    </xf>
    <xf numFmtId="9" fontId="2" fillId="0" borderId="13" xfId="88" applyNumberFormat="1" applyFont="1" applyFill="1" applyBorder="1" applyAlignment="1">
      <alignment horizontal="center" vertical="center"/>
      <protection/>
    </xf>
    <xf numFmtId="9" fontId="2" fillId="0" borderId="27" xfId="88" applyNumberFormat="1" applyFont="1" applyFill="1" applyBorder="1" applyAlignment="1">
      <alignment horizontal="center" vertical="center"/>
      <protection/>
    </xf>
    <xf numFmtId="9" fontId="2" fillId="0" borderId="28" xfId="88" applyNumberFormat="1" applyFont="1" applyFill="1" applyBorder="1" applyAlignment="1">
      <alignment horizontal="center" vertical="center"/>
      <protection/>
    </xf>
    <xf numFmtId="0" fontId="2" fillId="0" borderId="13" xfId="88" applyFont="1" applyFill="1" applyBorder="1" applyAlignment="1">
      <alignment horizontal="center" vertical="center"/>
      <protection/>
    </xf>
    <xf numFmtId="0" fontId="2" fillId="0" borderId="27" xfId="88" applyFont="1" applyFill="1" applyBorder="1" applyAlignment="1">
      <alignment horizontal="center" vertical="center"/>
      <protection/>
    </xf>
    <xf numFmtId="0" fontId="2" fillId="0" borderId="28" xfId="88" applyFont="1" applyFill="1" applyBorder="1" applyAlignment="1">
      <alignment horizontal="center" vertical="center"/>
      <protection/>
    </xf>
    <xf numFmtId="0" fontId="2" fillId="0" borderId="36" xfId="88" applyFont="1" applyFill="1" applyBorder="1" applyAlignment="1">
      <alignment horizontal="center" vertical="center" wrapText="1"/>
      <protection/>
    </xf>
    <xf numFmtId="0" fontId="14" fillId="9" borderId="13" xfId="88" applyFont="1" applyFill="1" applyBorder="1" applyAlignment="1">
      <alignment horizontal="center" vertical="center"/>
      <protection/>
    </xf>
    <xf numFmtId="0" fontId="14" fillId="9" borderId="27" xfId="88" applyFont="1" applyFill="1" applyBorder="1" applyAlignment="1">
      <alignment horizontal="center" vertical="center"/>
      <protection/>
    </xf>
    <xf numFmtId="0" fontId="14" fillId="9" borderId="28" xfId="88" applyFont="1" applyFill="1" applyBorder="1" applyAlignment="1">
      <alignment horizontal="center" vertical="center"/>
      <protection/>
    </xf>
    <xf numFmtId="3" fontId="2" fillId="0" borderId="13" xfId="88" applyNumberFormat="1" applyFont="1" applyFill="1" applyBorder="1" applyAlignment="1">
      <alignment horizontal="center" vertical="center"/>
      <protection/>
    </xf>
    <xf numFmtId="3" fontId="2" fillId="0" borderId="27" xfId="88" applyNumberFormat="1" applyFont="1" applyFill="1" applyBorder="1" applyAlignment="1">
      <alignment horizontal="center" vertical="center"/>
      <protection/>
    </xf>
    <xf numFmtId="3" fontId="2" fillId="0" borderId="28" xfId="88" applyNumberFormat="1" applyFont="1" applyFill="1" applyBorder="1" applyAlignment="1">
      <alignment horizontal="center" vertical="center"/>
      <protection/>
    </xf>
    <xf numFmtId="0" fontId="13" fillId="0" borderId="13" xfId="88" applyFont="1" applyFill="1" applyBorder="1" applyAlignment="1">
      <alignment horizontal="left" vertical="center"/>
      <protection/>
    </xf>
    <xf numFmtId="0" fontId="13" fillId="0" borderId="27" xfId="88" applyFont="1" applyFill="1" applyBorder="1" applyAlignment="1">
      <alignment horizontal="left" vertical="center"/>
      <protection/>
    </xf>
    <xf numFmtId="0" fontId="13" fillId="0" borderId="28" xfId="88" applyFont="1" applyFill="1" applyBorder="1" applyAlignment="1">
      <alignment horizontal="left" vertical="center"/>
      <protection/>
    </xf>
    <xf numFmtId="3" fontId="13" fillId="0" borderId="13" xfId="88" applyNumberFormat="1" applyFont="1" applyFill="1" applyBorder="1" applyAlignment="1">
      <alignment horizontal="center" vertical="center"/>
      <protection/>
    </xf>
    <xf numFmtId="3" fontId="13" fillId="0" borderId="27" xfId="88" applyNumberFormat="1" applyFont="1" applyFill="1" applyBorder="1" applyAlignment="1">
      <alignment horizontal="center" vertical="center"/>
      <protection/>
    </xf>
    <xf numFmtId="3" fontId="13" fillId="0" borderId="28" xfId="88" applyNumberFormat="1" applyFont="1" applyFill="1" applyBorder="1" applyAlignment="1">
      <alignment horizontal="center" vertical="center"/>
      <protection/>
    </xf>
    <xf numFmtId="0" fontId="13" fillId="0" borderId="15" xfId="88" applyFont="1" applyFill="1" applyBorder="1" applyAlignment="1">
      <alignment horizontal="left" vertical="center"/>
      <protection/>
    </xf>
    <xf numFmtId="0" fontId="13" fillId="0" borderId="12" xfId="88" applyFont="1" applyFill="1" applyBorder="1" applyAlignment="1">
      <alignment horizontal="left" vertical="center"/>
      <protection/>
    </xf>
  </cellXfs>
  <cellStyles count="8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" xfId="68"/>
    <cellStyle name="Гиперссылка 4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аголовокСтолбца" xfId="76"/>
    <cellStyle name="Итог" xfId="77"/>
    <cellStyle name="Контрольная ячейка" xfId="78"/>
    <cellStyle name="Название" xfId="79"/>
    <cellStyle name="Нейтральный" xfId="80"/>
    <cellStyle name="Обычный 10 2" xfId="81"/>
    <cellStyle name="Обычный 14" xfId="82"/>
    <cellStyle name="Обычный 2" xfId="83"/>
    <cellStyle name="Обычный 2 2" xfId="84"/>
    <cellStyle name="Обычный 2 6" xfId="85"/>
    <cellStyle name="Обычный 3 3" xfId="86"/>
    <cellStyle name="Обычный_12" xfId="87"/>
    <cellStyle name="Обычный_Отчетные формы по инвест программе" xfId="88"/>
    <cellStyle name="Обычный_Отчетные формы по инвест программеДима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oronov_d.K-SC.RU\AppData\Local\Temp\&#1054;&#1090;&#1095;&#1077;&#1090;&#1085;&#1099;&#1077;%20&#1092;&#1086;&#1088;&#1084;&#1099;%20&#1087;&#1086;%20&#1080;&#1085;&#1074;&#1077;&#1089;&#1090;%20&#1087;&#1088;&#1086;&#1075;&#1088;&#1072;&#1084;&#1084;&#1077;&#1044;&#1080;&#1084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11.1"/>
      <sheetName val="9"/>
      <sheetName val="11.2"/>
      <sheetName val="13"/>
    </sheetNames>
    <sheetDataSet>
      <sheetData sheetId="0">
        <row r="69">
          <cell r="B69" t="str">
            <v>  Реконструкция сетей электроснабжения ВЛ-10кВ ф 10-02 то ПС Шекшема</v>
          </cell>
        </row>
        <row r="73">
          <cell r="B73" t="str">
            <v>Приобретение объектов электросетевого хозяйства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Y83"/>
  <sheetViews>
    <sheetView tabSelected="1" view="pageBreakPreview" zoomScale="90" zoomScaleNormal="110" zoomScaleSheetLayoutView="90" zoomScalePageLayoutView="0" workbookViewId="0" topLeftCell="A7">
      <selection activeCell="B27" sqref="B27"/>
    </sheetView>
  </sheetViews>
  <sheetFormatPr defaultColWidth="13.125" defaultRowHeight="12.75" outlineLevelCol="1"/>
  <cols>
    <col min="1" max="1" width="7.375" style="28" customWidth="1" outlineLevel="1"/>
    <col min="2" max="2" width="52.00390625" style="74" customWidth="1"/>
    <col min="3" max="3" width="15.00390625" style="29" customWidth="1" outlineLevel="1"/>
    <col min="4" max="7" width="9.00390625" style="29" customWidth="1"/>
    <col min="8" max="11" width="9.00390625" style="30" customWidth="1"/>
    <col min="12" max="12" width="10.625" style="29" customWidth="1"/>
    <col min="13" max="13" width="9.00390625" style="29" customWidth="1"/>
    <col min="14" max="14" width="11.875" style="29" customWidth="1"/>
    <col min="15" max="15" width="11.625" style="29" customWidth="1"/>
    <col min="16" max="17" width="13.125" style="29" customWidth="1"/>
    <col min="18" max="18" width="17.25390625" style="29" customWidth="1" outlineLevel="1"/>
    <col min="19" max="20" width="11.125" style="28" customWidth="1" outlineLevel="1"/>
    <col min="21" max="22" width="13.125" style="28" customWidth="1" outlineLevel="1"/>
    <col min="23" max="23" width="26.375" style="28" customWidth="1" outlineLevel="1"/>
    <col min="24" max="16384" width="13.125" style="29" customWidth="1"/>
  </cols>
  <sheetData>
    <row r="1" spans="21:23" ht="12.75" customHeight="1">
      <c r="U1" s="127"/>
      <c r="V1" s="127"/>
      <c r="W1" s="67" t="s">
        <v>0</v>
      </c>
    </row>
    <row r="2" ht="15">
      <c r="W2" s="28" t="s">
        <v>1</v>
      </c>
    </row>
    <row r="3" ht="15">
      <c r="W3" s="67" t="s">
        <v>2</v>
      </c>
    </row>
    <row r="5" spans="20:46" ht="66" customHeight="1">
      <c r="T5" s="130" t="s">
        <v>309</v>
      </c>
      <c r="U5" s="130"/>
      <c r="V5" s="130"/>
      <c r="W5" s="130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20:46" ht="16.5">
      <c r="T6" s="63"/>
      <c r="U6" s="63"/>
      <c r="V6" s="63"/>
      <c r="W6" s="63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ht="15">
      <c r="W7" s="33"/>
    </row>
    <row r="8" spans="1:23" ht="15">
      <c r="A8" s="34"/>
      <c r="B8" s="75"/>
      <c r="C8" s="30"/>
      <c r="D8" s="30"/>
      <c r="E8" s="30"/>
      <c r="F8" s="30"/>
      <c r="G8" s="30"/>
      <c r="L8" s="30"/>
      <c r="M8" s="30"/>
      <c r="N8" s="30"/>
      <c r="O8" s="30"/>
      <c r="P8" s="30"/>
      <c r="Q8" s="30"/>
      <c r="R8" s="30"/>
      <c r="S8" s="34"/>
      <c r="T8" s="34"/>
      <c r="U8" s="34"/>
      <c r="V8" s="34"/>
      <c r="W8" s="68" t="s">
        <v>3</v>
      </c>
    </row>
    <row r="9" spans="1:51" ht="15">
      <c r="A9" s="34"/>
      <c r="B9" s="75"/>
      <c r="C9" s="30"/>
      <c r="D9" s="30"/>
      <c r="E9" s="30"/>
      <c r="F9" s="30"/>
      <c r="G9" s="30"/>
      <c r="L9" s="30"/>
      <c r="M9" s="30"/>
      <c r="N9" s="30"/>
      <c r="O9" s="30"/>
      <c r="P9" s="30"/>
      <c r="Q9" s="30"/>
      <c r="R9" s="30"/>
      <c r="S9" s="34"/>
      <c r="T9" s="34"/>
      <c r="U9" s="34"/>
      <c r="V9" s="34"/>
      <c r="W9" s="107" t="s">
        <v>317</v>
      </c>
      <c r="X9" s="35"/>
      <c r="Y9" s="128"/>
      <c r="Z9" s="128"/>
      <c r="AA9" s="128"/>
      <c r="AB9" s="129"/>
      <c r="AC9" s="129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4">
        <v>20</v>
      </c>
      <c r="AP9" s="124"/>
      <c r="AQ9" s="124"/>
      <c r="AR9" s="131"/>
      <c r="AS9" s="131"/>
      <c r="AT9" s="131"/>
      <c r="AU9" s="36"/>
      <c r="AV9" s="37" t="s">
        <v>4</v>
      </c>
      <c r="AW9" s="36"/>
      <c r="AX9" s="36"/>
      <c r="AY9" s="37"/>
    </row>
    <row r="10" spans="1:51" ht="15">
      <c r="A10" s="34"/>
      <c r="B10" s="75"/>
      <c r="C10" s="30"/>
      <c r="D10" s="30"/>
      <c r="E10" s="30"/>
      <c r="F10" s="30"/>
      <c r="G10" s="30"/>
      <c r="L10" s="30"/>
      <c r="M10" s="30"/>
      <c r="N10" s="30"/>
      <c r="O10" s="30"/>
      <c r="P10" s="30"/>
      <c r="Q10" s="30"/>
      <c r="R10" s="30"/>
      <c r="S10" s="101"/>
      <c r="T10" s="34"/>
      <c r="U10" s="34"/>
      <c r="V10" s="34"/>
      <c r="W10" s="38" t="s">
        <v>5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8" t="s">
        <v>6</v>
      </c>
    </row>
    <row r="11" spans="1:23" ht="18" customHeight="1">
      <c r="A11" s="132" t="s">
        <v>312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ht="18" customHeight="1">
      <c r="A12" s="73"/>
      <c r="B12" s="76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ht="14.25" customHeight="1">
      <c r="A13" s="133" t="s">
        <v>7</v>
      </c>
      <c r="B13" s="134" t="s">
        <v>8</v>
      </c>
      <c r="C13" s="125" t="s">
        <v>9</v>
      </c>
      <c r="D13" s="125" t="s">
        <v>10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 t="s">
        <v>11</v>
      </c>
      <c r="O13" s="125"/>
      <c r="P13" s="125" t="s">
        <v>12</v>
      </c>
      <c r="Q13" s="125"/>
      <c r="R13" s="125" t="s">
        <v>13</v>
      </c>
      <c r="S13" s="126" t="s">
        <v>14</v>
      </c>
      <c r="T13" s="126"/>
      <c r="U13" s="126"/>
      <c r="V13" s="126"/>
      <c r="W13" s="126" t="s">
        <v>15</v>
      </c>
    </row>
    <row r="14" spans="1:23" ht="46.5" customHeight="1">
      <c r="A14" s="133"/>
      <c r="B14" s="134"/>
      <c r="C14" s="125"/>
      <c r="D14" s="125" t="s">
        <v>16</v>
      </c>
      <c r="E14" s="125"/>
      <c r="F14" s="125" t="s">
        <v>17</v>
      </c>
      <c r="G14" s="125"/>
      <c r="H14" s="125" t="s">
        <v>18</v>
      </c>
      <c r="I14" s="125"/>
      <c r="J14" s="125" t="s">
        <v>19</v>
      </c>
      <c r="K14" s="125"/>
      <c r="L14" s="125" t="s">
        <v>20</v>
      </c>
      <c r="M14" s="125"/>
      <c r="N14" s="125"/>
      <c r="O14" s="125"/>
      <c r="P14" s="125"/>
      <c r="Q14" s="125"/>
      <c r="R14" s="125"/>
      <c r="S14" s="126" t="s">
        <v>21</v>
      </c>
      <c r="T14" s="126" t="s">
        <v>22</v>
      </c>
      <c r="U14" s="126" t="s">
        <v>23</v>
      </c>
      <c r="V14" s="126"/>
      <c r="W14" s="126"/>
    </row>
    <row r="15" spans="1:23" ht="63.75">
      <c r="A15" s="133"/>
      <c r="B15" s="134"/>
      <c r="C15" s="125"/>
      <c r="D15" s="64" t="s">
        <v>24</v>
      </c>
      <c r="E15" s="64" t="s">
        <v>25</v>
      </c>
      <c r="F15" s="64" t="s">
        <v>26</v>
      </c>
      <c r="G15" s="64" t="s">
        <v>27</v>
      </c>
      <c r="H15" s="64" t="s">
        <v>26</v>
      </c>
      <c r="I15" s="64" t="s">
        <v>27</v>
      </c>
      <c r="J15" s="64" t="s">
        <v>26</v>
      </c>
      <c r="K15" s="64" t="s">
        <v>27</v>
      </c>
      <c r="L15" s="64" t="s">
        <v>26</v>
      </c>
      <c r="M15" s="64" t="s">
        <v>27</v>
      </c>
      <c r="N15" s="64" t="s">
        <v>16</v>
      </c>
      <c r="O15" s="64" t="s">
        <v>28</v>
      </c>
      <c r="P15" s="64" t="s">
        <v>16</v>
      </c>
      <c r="Q15" s="64" t="s">
        <v>28</v>
      </c>
      <c r="R15" s="125"/>
      <c r="S15" s="126"/>
      <c r="T15" s="126"/>
      <c r="U15" s="42" t="s">
        <v>29</v>
      </c>
      <c r="V15" s="42" t="s">
        <v>30</v>
      </c>
      <c r="W15" s="126"/>
    </row>
    <row r="16" spans="1:23" s="66" customFormat="1" ht="14.25">
      <c r="A16" s="39"/>
      <c r="B16" s="78" t="s">
        <v>31</v>
      </c>
      <c r="C16" s="65">
        <v>0</v>
      </c>
      <c r="D16" s="65">
        <f>D17+D73+D76</f>
        <v>19.92796508</v>
      </c>
      <c r="E16" s="65">
        <f aca="true" t="shared" si="0" ref="E16:Q16">E17+E73</f>
        <v>1.69771084</v>
      </c>
      <c r="F16" s="65">
        <f t="shared" si="0"/>
        <v>1.69771084</v>
      </c>
      <c r="G16" s="65">
        <f t="shared" si="0"/>
        <v>1.69771084</v>
      </c>
      <c r="H16" s="65">
        <f t="shared" si="0"/>
        <v>1.6013012150400001</v>
      </c>
      <c r="I16" s="65">
        <f t="shared" si="0"/>
        <v>0</v>
      </c>
      <c r="J16" s="65">
        <f>J17+J73+J76</f>
        <v>3.1070589723135997</v>
      </c>
      <c r="K16" s="65">
        <f t="shared" si="0"/>
        <v>0</v>
      </c>
      <c r="L16" s="65">
        <f t="shared" si="0"/>
        <v>13.5218940526464</v>
      </c>
      <c r="M16" s="65">
        <f t="shared" si="0"/>
        <v>0</v>
      </c>
      <c r="N16" s="65">
        <f t="shared" si="0"/>
        <v>1.69771084</v>
      </c>
      <c r="O16" s="65">
        <f t="shared" si="0"/>
        <v>1.69771084</v>
      </c>
      <c r="P16" s="65">
        <f t="shared" si="0"/>
        <v>1.69771084</v>
      </c>
      <c r="Q16" s="65">
        <f t="shared" si="0"/>
        <v>1.69771084</v>
      </c>
      <c r="R16" s="65">
        <f>R17+R73+R76</f>
        <v>18.23025424</v>
      </c>
      <c r="S16" s="65">
        <f>S17+S73+S76</f>
        <v>-18.23025424</v>
      </c>
      <c r="T16" s="81">
        <f>(E16-D16)/D16*100</f>
        <v>-91.48076166741255</v>
      </c>
      <c r="U16" s="65">
        <f>U17+U73+U76</f>
        <v>-18.23025424</v>
      </c>
      <c r="V16" s="40"/>
      <c r="W16" s="41"/>
    </row>
    <row r="17" spans="1:23" ht="14.25">
      <c r="A17" s="42">
        <v>1</v>
      </c>
      <c r="B17" s="79" t="s">
        <v>32</v>
      </c>
      <c r="C17" s="82">
        <v>0</v>
      </c>
      <c r="D17" s="65">
        <f aca="true" t="shared" si="1" ref="D17:O17">D18</f>
        <v>16.665777407686402</v>
      </c>
      <c r="E17" s="65">
        <f t="shared" si="1"/>
        <v>1.69771084</v>
      </c>
      <c r="F17" s="65">
        <f t="shared" si="1"/>
        <v>1.69771084</v>
      </c>
      <c r="G17" s="65">
        <f t="shared" si="1"/>
        <v>1.69771084</v>
      </c>
      <c r="H17" s="65">
        <f t="shared" si="1"/>
        <v>1.6013012150400001</v>
      </c>
      <c r="I17" s="65">
        <f t="shared" si="1"/>
        <v>0</v>
      </c>
      <c r="J17" s="65">
        <f t="shared" si="1"/>
        <v>2.82232754</v>
      </c>
      <c r="K17" s="65">
        <f t="shared" si="1"/>
        <v>0</v>
      </c>
      <c r="L17" s="65">
        <f t="shared" si="1"/>
        <v>10.5444378126464</v>
      </c>
      <c r="M17" s="65">
        <f t="shared" si="1"/>
        <v>0</v>
      </c>
      <c r="N17" s="65">
        <f>N18</f>
        <v>1.69771084</v>
      </c>
      <c r="O17" s="65">
        <f t="shared" si="1"/>
        <v>1.69771084</v>
      </c>
      <c r="P17" s="65">
        <f>N17</f>
        <v>1.69771084</v>
      </c>
      <c r="Q17" s="65">
        <f>O17</f>
        <v>1.69771084</v>
      </c>
      <c r="R17" s="40">
        <f>D17-E17</f>
        <v>14.968066567686403</v>
      </c>
      <c r="S17" s="39">
        <f>E17-D17</f>
        <v>-14.968066567686403</v>
      </c>
      <c r="T17" s="81">
        <f>(E17-D17)/D17*100</f>
        <v>-89.81319143734034</v>
      </c>
      <c r="U17" s="39">
        <f>S17</f>
        <v>-14.968066567686403</v>
      </c>
      <c r="V17" s="42"/>
      <c r="W17" s="42"/>
    </row>
    <row r="18" spans="1:23" ht="29.25" customHeight="1">
      <c r="A18" s="43" t="s">
        <v>33</v>
      </c>
      <c r="B18" s="79" t="s">
        <v>34</v>
      </c>
      <c r="C18" s="82">
        <v>0</v>
      </c>
      <c r="D18" s="65">
        <f aca="true" t="shared" si="2" ref="D18:O18">SUM(D19:D72)</f>
        <v>16.665777407686402</v>
      </c>
      <c r="E18" s="65">
        <f t="shared" si="2"/>
        <v>1.69771084</v>
      </c>
      <c r="F18" s="65">
        <f t="shared" si="2"/>
        <v>1.69771084</v>
      </c>
      <c r="G18" s="65">
        <f t="shared" si="2"/>
        <v>1.69771084</v>
      </c>
      <c r="H18" s="65">
        <f t="shared" si="2"/>
        <v>1.6013012150400001</v>
      </c>
      <c r="I18" s="65">
        <f t="shared" si="2"/>
        <v>0</v>
      </c>
      <c r="J18" s="65">
        <f t="shared" si="2"/>
        <v>2.82232754</v>
      </c>
      <c r="K18" s="65">
        <f t="shared" si="2"/>
        <v>0</v>
      </c>
      <c r="L18" s="65">
        <f t="shared" si="2"/>
        <v>10.5444378126464</v>
      </c>
      <c r="M18" s="65">
        <f t="shared" si="2"/>
        <v>0</v>
      </c>
      <c r="N18" s="65">
        <f>SUM(N19:N72)</f>
        <v>1.69771084</v>
      </c>
      <c r="O18" s="65">
        <f t="shared" si="2"/>
        <v>1.69771084</v>
      </c>
      <c r="P18" s="65">
        <f>N18</f>
        <v>1.69771084</v>
      </c>
      <c r="Q18" s="65">
        <f>O18</f>
        <v>1.69771084</v>
      </c>
      <c r="R18" s="65">
        <f>SUM(R19:R72)</f>
        <v>14.968066567686401</v>
      </c>
      <c r="S18" s="39">
        <f>E18-D18</f>
        <v>-14.968066567686403</v>
      </c>
      <c r="T18" s="81">
        <f>(E18-D18)/D18*100</f>
        <v>-89.81319143734034</v>
      </c>
      <c r="U18" s="39">
        <f>S18</f>
        <v>-14.968066567686403</v>
      </c>
      <c r="V18" s="42"/>
      <c r="W18" s="42"/>
    </row>
    <row r="19" spans="1:23" ht="40.5" customHeight="1">
      <c r="A19" s="44" t="s">
        <v>35</v>
      </c>
      <c r="B19" s="80" t="s">
        <v>251</v>
      </c>
      <c r="C19" s="82">
        <v>0</v>
      </c>
      <c r="D19" s="82">
        <f>237.9883/1000</f>
        <v>0.2379883</v>
      </c>
      <c r="E19" s="82">
        <f aca="true" t="shared" si="3" ref="E19:E50">G19+I19+K19+M19</f>
        <v>0</v>
      </c>
      <c r="F19" s="82">
        <v>0</v>
      </c>
      <c r="G19" s="82">
        <v>0</v>
      </c>
      <c r="H19" s="82">
        <v>0</v>
      </c>
      <c r="I19" s="82"/>
      <c r="J19" s="82">
        <f aca="true" t="shared" si="4" ref="J19:J24">D19</f>
        <v>0.2379883</v>
      </c>
      <c r="K19" s="83"/>
      <c r="L19" s="82">
        <v>0</v>
      </c>
      <c r="M19" s="83"/>
      <c r="N19" s="82">
        <f>E19</f>
        <v>0</v>
      </c>
      <c r="O19" s="82">
        <f>N19</f>
        <v>0</v>
      </c>
      <c r="P19" s="40">
        <f>N19</f>
        <v>0</v>
      </c>
      <c r="Q19" s="40">
        <f>P19</f>
        <v>0</v>
      </c>
      <c r="R19" s="40">
        <f>D19-E19</f>
        <v>0.2379883</v>
      </c>
      <c r="S19" s="82">
        <f aca="true" t="shared" si="5" ref="S19:S72">E19-D19</f>
        <v>-0.2379883</v>
      </c>
      <c r="T19" s="84">
        <f aca="true" t="shared" si="6" ref="T19:T72">(E19-D19)/D19*100</f>
        <v>-100</v>
      </c>
      <c r="U19" s="82">
        <f aca="true" t="shared" si="7" ref="U19:U72">S19</f>
        <v>-0.2379883</v>
      </c>
      <c r="V19" s="41"/>
      <c r="W19" s="41"/>
    </row>
    <row r="20" spans="1:23" ht="37.5" customHeight="1">
      <c r="A20" s="44" t="s">
        <v>36</v>
      </c>
      <c r="B20" s="80" t="s">
        <v>252</v>
      </c>
      <c r="C20" s="82">
        <v>0</v>
      </c>
      <c r="D20" s="82">
        <f>237.9883/1000</f>
        <v>0.2379883</v>
      </c>
      <c r="E20" s="82">
        <f t="shared" si="3"/>
        <v>0</v>
      </c>
      <c r="F20" s="82">
        <v>0</v>
      </c>
      <c r="G20" s="82">
        <v>0</v>
      </c>
      <c r="H20" s="82">
        <v>0</v>
      </c>
      <c r="I20" s="82"/>
      <c r="J20" s="82">
        <f t="shared" si="4"/>
        <v>0.2379883</v>
      </c>
      <c r="K20" s="83"/>
      <c r="L20" s="82">
        <v>0</v>
      </c>
      <c r="M20" s="83"/>
      <c r="N20" s="82">
        <f aca="true" t="shared" si="8" ref="N20:N76">E20</f>
        <v>0</v>
      </c>
      <c r="O20" s="82">
        <f aca="true" t="shared" si="9" ref="O20:O76">N20</f>
        <v>0</v>
      </c>
      <c r="P20" s="40">
        <f aca="true" t="shared" si="10" ref="P20:P72">N20</f>
        <v>0</v>
      </c>
      <c r="Q20" s="40">
        <f aca="true" t="shared" si="11" ref="Q20:Q76">P20</f>
        <v>0</v>
      </c>
      <c r="R20" s="40">
        <f aca="true" t="shared" si="12" ref="R20:R71">D20-E20</f>
        <v>0.2379883</v>
      </c>
      <c r="S20" s="82">
        <f t="shared" si="5"/>
        <v>-0.2379883</v>
      </c>
      <c r="T20" s="84">
        <f t="shared" si="6"/>
        <v>-100</v>
      </c>
      <c r="U20" s="82">
        <f t="shared" si="7"/>
        <v>-0.2379883</v>
      </c>
      <c r="V20" s="41"/>
      <c r="W20" s="41"/>
    </row>
    <row r="21" spans="1:23" ht="46.5" customHeight="1">
      <c r="A21" s="44" t="s">
        <v>37</v>
      </c>
      <c r="B21" s="80" t="s">
        <v>253</v>
      </c>
      <c r="C21" s="82">
        <v>0</v>
      </c>
      <c r="D21" s="82">
        <f>342.0112/1000</f>
        <v>0.34201119999999996</v>
      </c>
      <c r="E21" s="82">
        <f t="shared" si="3"/>
        <v>0</v>
      </c>
      <c r="F21" s="82">
        <v>0</v>
      </c>
      <c r="G21" s="82">
        <v>0</v>
      </c>
      <c r="H21" s="82">
        <v>0</v>
      </c>
      <c r="I21" s="82"/>
      <c r="J21" s="82">
        <f t="shared" si="4"/>
        <v>0.34201119999999996</v>
      </c>
      <c r="K21" s="83"/>
      <c r="L21" s="82">
        <v>0</v>
      </c>
      <c r="M21" s="83"/>
      <c r="N21" s="82">
        <f t="shared" si="8"/>
        <v>0</v>
      </c>
      <c r="O21" s="82">
        <f t="shared" si="9"/>
        <v>0</v>
      </c>
      <c r="P21" s="40">
        <f t="shared" si="10"/>
        <v>0</v>
      </c>
      <c r="Q21" s="40">
        <f t="shared" si="11"/>
        <v>0</v>
      </c>
      <c r="R21" s="40">
        <f t="shared" si="12"/>
        <v>0.34201119999999996</v>
      </c>
      <c r="S21" s="82">
        <f t="shared" si="5"/>
        <v>-0.34201119999999996</v>
      </c>
      <c r="T21" s="84">
        <f t="shared" si="6"/>
        <v>-100</v>
      </c>
      <c r="U21" s="82">
        <f t="shared" si="7"/>
        <v>-0.34201119999999996</v>
      </c>
      <c r="V21" s="41"/>
      <c r="W21" s="41"/>
    </row>
    <row r="22" spans="1:23" ht="63" customHeight="1">
      <c r="A22" s="44" t="s">
        <v>38</v>
      </c>
      <c r="B22" s="80" t="s">
        <v>254</v>
      </c>
      <c r="C22" s="82">
        <v>0</v>
      </c>
      <c r="D22" s="82">
        <f>460.20708/1000</f>
        <v>0.46020708000000005</v>
      </c>
      <c r="E22" s="82">
        <f t="shared" si="3"/>
        <v>0</v>
      </c>
      <c r="F22" s="82">
        <v>0</v>
      </c>
      <c r="G22" s="82">
        <v>0</v>
      </c>
      <c r="H22" s="82">
        <v>0</v>
      </c>
      <c r="I22" s="82"/>
      <c r="J22" s="82">
        <f t="shared" si="4"/>
        <v>0.46020708000000005</v>
      </c>
      <c r="K22" s="83"/>
      <c r="L22" s="82">
        <v>0</v>
      </c>
      <c r="M22" s="82"/>
      <c r="N22" s="82">
        <f t="shared" si="8"/>
        <v>0</v>
      </c>
      <c r="O22" s="82">
        <f t="shared" si="9"/>
        <v>0</v>
      </c>
      <c r="P22" s="40">
        <f t="shared" si="10"/>
        <v>0</v>
      </c>
      <c r="Q22" s="40">
        <f t="shared" si="11"/>
        <v>0</v>
      </c>
      <c r="R22" s="40">
        <f t="shared" si="12"/>
        <v>0.46020708000000005</v>
      </c>
      <c r="S22" s="82">
        <f t="shared" si="5"/>
        <v>-0.46020708000000005</v>
      </c>
      <c r="T22" s="84">
        <f t="shared" si="6"/>
        <v>-100</v>
      </c>
      <c r="U22" s="82">
        <f t="shared" si="7"/>
        <v>-0.46020708000000005</v>
      </c>
      <c r="V22" s="41"/>
      <c r="W22" s="41"/>
    </row>
    <row r="23" spans="1:23" ht="85.5" customHeight="1">
      <c r="A23" s="44" t="s">
        <v>39</v>
      </c>
      <c r="B23" s="80" t="s">
        <v>255</v>
      </c>
      <c r="C23" s="82">
        <v>0</v>
      </c>
      <c r="D23" s="82">
        <f>350.59452/1000</f>
        <v>0.35059451999999997</v>
      </c>
      <c r="E23" s="82">
        <f t="shared" si="3"/>
        <v>0</v>
      </c>
      <c r="F23" s="82">
        <v>0</v>
      </c>
      <c r="G23" s="82">
        <v>0</v>
      </c>
      <c r="H23" s="82">
        <v>0</v>
      </c>
      <c r="I23" s="82"/>
      <c r="J23" s="82">
        <f t="shared" si="4"/>
        <v>0.35059451999999997</v>
      </c>
      <c r="K23" s="82"/>
      <c r="L23" s="82">
        <v>0</v>
      </c>
      <c r="M23" s="83"/>
      <c r="N23" s="82">
        <f t="shared" si="8"/>
        <v>0</v>
      </c>
      <c r="O23" s="82">
        <f t="shared" si="9"/>
        <v>0</v>
      </c>
      <c r="P23" s="40">
        <f t="shared" si="10"/>
        <v>0</v>
      </c>
      <c r="Q23" s="40">
        <f t="shared" si="11"/>
        <v>0</v>
      </c>
      <c r="R23" s="40">
        <f t="shared" si="12"/>
        <v>0.35059451999999997</v>
      </c>
      <c r="S23" s="82">
        <f t="shared" si="5"/>
        <v>-0.35059451999999997</v>
      </c>
      <c r="T23" s="84">
        <f t="shared" si="6"/>
        <v>-100</v>
      </c>
      <c r="U23" s="82">
        <f t="shared" si="7"/>
        <v>-0.35059451999999997</v>
      </c>
      <c r="V23" s="41"/>
      <c r="W23" s="41"/>
    </row>
    <row r="24" spans="1:23" ht="51" customHeight="1">
      <c r="A24" s="44" t="s">
        <v>40</v>
      </c>
      <c r="B24" s="80" t="s">
        <v>256</v>
      </c>
      <c r="C24" s="82">
        <v>0</v>
      </c>
      <c r="D24" s="82">
        <f>1193.53814/1000</f>
        <v>1.19353814</v>
      </c>
      <c r="E24" s="82">
        <f t="shared" si="3"/>
        <v>0</v>
      </c>
      <c r="F24" s="82">
        <v>0</v>
      </c>
      <c r="G24" s="82">
        <v>0</v>
      </c>
      <c r="H24" s="82">
        <v>0</v>
      </c>
      <c r="I24" s="82"/>
      <c r="J24" s="82">
        <f t="shared" si="4"/>
        <v>1.19353814</v>
      </c>
      <c r="K24" s="83"/>
      <c r="L24" s="82">
        <v>0</v>
      </c>
      <c r="M24" s="83"/>
      <c r="N24" s="82">
        <f t="shared" si="8"/>
        <v>0</v>
      </c>
      <c r="O24" s="82">
        <f t="shared" si="9"/>
        <v>0</v>
      </c>
      <c r="P24" s="40">
        <f t="shared" si="10"/>
        <v>0</v>
      </c>
      <c r="Q24" s="40">
        <f t="shared" si="11"/>
        <v>0</v>
      </c>
      <c r="R24" s="40">
        <f t="shared" si="12"/>
        <v>1.19353814</v>
      </c>
      <c r="S24" s="82">
        <f t="shared" si="5"/>
        <v>-1.19353814</v>
      </c>
      <c r="T24" s="84">
        <f t="shared" si="6"/>
        <v>-100</v>
      </c>
      <c r="U24" s="82">
        <f t="shared" si="7"/>
        <v>-1.19353814</v>
      </c>
      <c r="V24" s="41"/>
      <c r="W24" s="41"/>
    </row>
    <row r="25" spans="1:23" ht="36.75" customHeight="1">
      <c r="A25" s="44" t="s">
        <v>41</v>
      </c>
      <c r="B25" s="80" t="s">
        <v>257</v>
      </c>
      <c r="C25" s="82">
        <v>0</v>
      </c>
      <c r="D25" s="82">
        <f>99.417637536/1000</f>
        <v>0.099417637536</v>
      </c>
      <c r="E25" s="82">
        <f t="shared" si="3"/>
        <v>0</v>
      </c>
      <c r="F25" s="82">
        <v>0</v>
      </c>
      <c r="G25" s="82">
        <v>0</v>
      </c>
      <c r="H25" s="82">
        <v>0</v>
      </c>
      <c r="I25" s="83"/>
      <c r="J25" s="82">
        <v>0</v>
      </c>
      <c r="K25" s="82"/>
      <c r="L25" s="82">
        <f aca="true" t="shared" si="13" ref="L25:L65">D25</f>
        <v>0.099417637536</v>
      </c>
      <c r="M25" s="83"/>
      <c r="N25" s="82">
        <f t="shared" si="8"/>
        <v>0</v>
      </c>
      <c r="O25" s="82">
        <f t="shared" si="9"/>
        <v>0</v>
      </c>
      <c r="P25" s="40">
        <f t="shared" si="10"/>
        <v>0</v>
      </c>
      <c r="Q25" s="40">
        <f t="shared" si="11"/>
        <v>0</v>
      </c>
      <c r="R25" s="40">
        <f t="shared" si="12"/>
        <v>0.099417637536</v>
      </c>
      <c r="S25" s="82">
        <f t="shared" si="5"/>
        <v>-0.099417637536</v>
      </c>
      <c r="T25" s="84">
        <f t="shared" si="6"/>
        <v>-100</v>
      </c>
      <c r="U25" s="82">
        <f t="shared" si="7"/>
        <v>-0.099417637536</v>
      </c>
      <c r="V25" s="41"/>
      <c r="W25" s="41"/>
    </row>
    <row r="26" spans="1:23" ht="30.75" customHeight="1">
      <c r="A26" s="44" t="s">
        <v>42</v>
      </c>
      <c r="B26" s="80" t="s">
        <v>258</v>
      </c>
      <c r="C26" s="82">
        <v>0</v>
      </c>
      <c r="D26" s="82">
        <f>504.9269796/1000</f>
        <v>0.5049269796</v>
      </c>
      <c r="E26" s="82">
        <f t="shared" si="3"/>
        <v>0</v>
      </c>
      <c r="F26" s="82">
        <v>0</v>
      </c>
      <c r="G26" s="82">
        <v>0</v>
      </c>
      <c r="H26" s="82">
        <v>0</v>
      </c>
      <c r="I26" s="83"/>
      <c r="J26" s="82">
        <v>0</v>
      </c>
      <c r="K26" s="82"/>
      <c r="L26" s="82">
        <f t="shared" si="13"/>
        <v>0.5049269796</v>
      </c>
      <c r="M26" s="83"/>
      <c r="N26" s="82">
        <f t="shared" si="8"/>
        <v>0</v>
      </c>
      <c r="O26" s="82">
        <f t="shared" si="9"/>
        <v>0</v>
      </c>
      <c r="P26" s="40">
        <f t="shared" si="10"/>
        <v>0</v>
      </c>
      <c r="Q26" s="40">
        <f t="shared" si="11"/>
        <v>0</v>
      </c>
      <c r="R26" s="40">
        <f t="shared" si="12"/>
        <v>0.5049269796</v>
      </c>
      <c r="S26" s="82">
        <f t="shared" si="5"/>
        <v>-0.5049269796</v>
      </c>
      <c r="T26" s="84">
        <f t="shared" si="6"/>
        <v>-100</v>
      </c>
      <c r="U26" s="82">
        <f t="shared" si="7"/>
        <v>-0.5049269796</v>
      </c>
      <c r="V26" s="41"/>
      <c r="W26" s="41"/>
    </row>
    <row r="27" spans="1:23" ht="25.5" customHeight="1">
      <c r="A27" s="44" t="s">
        <v>43</v>
      </c>
      <c r="B27" s="80" t="s">
        <v>259</v>
      </c>
      <c r="C27" s="82">
        <v>0</v>
      </c>
      <c r="D27" s="82">
        <f>207.227216064/1000</f>
        <v>0.207227216064</v>
      </c>
      <c r="E27" s="82">
        <f t="shared" si="3"/>
        <v>0</v>
      </c>
      <c r="F27" s="82">
        <v>0</v>
      </c>
      <c r="G27" s="82">
        <v>0</v>
      </c>
      <c r="H27" s="82">
        <v>0</v>
      </c>
      <c r="I27" s="83"/>
      <c r="J27" s="82">
        <v>0</v>
      </c>
      <c r="K27" s="82"/>
      <c r="L27" s="82">
        <f t="shared" si="13"/>
        <v>0.207227216064</v>
      </c>
      <c r="M27" s="83"/>
      <c r="N27" s="82">
        <f t="shared" si="8"/>
        <v>0</v>
      </c>
      <c r="O27" s="82">
        <f t="shared" si="9"/>
        <v>0</v>
      </c>
      <c r="P27" s="40">
        <f t="shared" si="10"/>
        <v>0</v>
      </c>
      <c r="Q27" s="40">
        <f t="shared" si="11"/>
        <v>0</v>
      </c>
      <c r="R27" s="40">
        <f t="shared" si="12"/>
        <v>0.207227216064</v>
      </c>
      <c r="S27" s="82">
        <f t="shared" si="5"/>
        <v>-0.207227216064</v>
      </c>
      <c r="T27" s="84">
        <f t="shared" si="6"/>
        <v>-100</v>
      </c>
      <c r="U27" s="82">
        <f t="shared" si="7"/>
        <v>-0.207227216064</v>
      </c>
      <c r="V27" s="41"/>
      <c r="W27" s="41"/>
    </row>
    <row r="28" spans="1:23" ht="30" customHeight="1">
      <c r="A28" s="44" t="s">
        <v>44</v>
      </c>
      <c r="B28" s="80" t="s">
        <v>260</v>
      </c>
      <c r="C28" s="82">
        <v>0</v>
      </c>
      <c r="D28" s="82">
        <f>80.065060752/1000</f>
        <v>0.080065060752</v>
      </c>
      <c r="E28" s="82">
        <f t="shared" si="3"/>
        <v>0</v>
      </c>
      <c r="F28" s="82">
        <v>0</v>
      </c>
      <c r="G28" s="82">
        <v>0</v>
      </c>
      <c r="H28" s="82">
        <v>0</v>
      </c>
      <c r="I28" s="82"/>
      <c r="J28" s="82">
        <v>0</v>
      </c>
      <c r="K28" s="83"/>
      <c r="L28" s="82">
        <f t="shared" si="13"/>
        <v>0.080065060752</v>
      </c>
      <c r="M28" s="83"/>
      <c r="N28" s="82">
        <f t="shared" si="8"/>
        <v>0</v>
      </c>
      <c r="O28" s="82">
        <f t="shared" si="9"/>
        <v>0</v>
      </c>
      <c r="P28" s="40">
        <f t="shared" si="10"/>
        <v>0</v>
      </c>
      <c r="Q28" s="40">
        <f t="shared" si="11"/>
        <v>0</v>
      </c>
      <c r="R28" s="40">
        <f t="shared" si="12"/>
        <v>0.080065060752</v>
      </c>
      <c r="S28" s="82">
        <f t="shared" si="5"/>
        <v>-0.080065060752</v>
      </c>
      <c r="T28" s="84">
        <f t="shared" si="6"/>
        <v>-100</v>
      </c>
      <c r="U28" s="82">
        <f t="shared" si="7"/>
        <v>-0.080065060752</v>
      </c>
      <c r="V28" s="41"/>
      <c r="W28" s="41"/>
    </row>
    <row r="29" spans="1:23" ht="35.25" customHeight="1">
      <c r="A29" s="44" t="s">
        <v>45</v>
      </c>
      <c r="B29" s="80" t="s">
        <v>261</v>
      </c>
      <c r="C29" s="82">
        <v>0</v>
      </c>
      <c r="D29" s="82">
        <f>113.033026944/1000</f>
        <v>0.113033026944</v>
      </c>
      <c r="E29" s="82">
        <f t="shared" si="3"/>
        <v>0</v>
      </c>
      <c r="F29" s="82">
        <v>0</v>
      </c>
      <c r="G29" s="82">
        <v>0</v>
      </c>
      <c r="H29" s="82">
        <v>0</v>
      </c>
      <c r="I29" s="82"/>
      <c r="J29" s="82">
        <v>0</v>
      </c>
      <c r="K29" s="83"/>
      <c r="L29" s="82">
        <f t="shared" si="13"/>
        <v>0.113033026944</v>
      </c>
      <c r="M29" s="83"/>
      <c r="N29" s="82">
        <f t="shared" si="8"/>
        <v>0</v>
      </c>
      <c r="O29" s="82">
        <f t="shared" si="9"/>
        <v>0</v>
      </c>
      <c r="P29" s="40">
        <f t="shared" si="10"/>
        <v>0</v>
      </c>
      <c r="Q29" s="40">
        <f t="shared" si="11"/>
        <v>0</v>
      </c>
      <c r="R29" s="40">
        <f t="shared" si="12"/>
        <v>0.113033026944</v>
      </c>
      <c r="S29" s="82">
        <f t="shared" si="5"/>
        <v>-0.113033026944</v>
      </c>
      <c r="T29" s="84">
        <f t="shared" si="6"/>
        <v>-100</v>
      </c>
      <c r="U29" s="82">
        <f t="shared" si="7"/>
        <v>-0.113033026944</v>
      </c>
      <c r="V29" s="41"/>
      <c r="W29" s="41"/>
    </row>
    <row r="30" spans="1:23" ht="33" customHeight="1">
      <c r="A30" s="44" t="s">
        <v>46</v>
      </c>
      <c r="B30" s="80" t="s">
        <v>262</v>
      </c>
      <c r="C30" s="82">
        <v>0</v>
      </c>
      <c r="D30" s="82">
        <f>51.806804016/1000</f>
        <v>0.051806804016</v>
      </c>
      <c r="E30" s="82">
        <f t="shared" si="3"/>
        <v>0</v>
      </c>
      <c r="F30" s="82">
        <v>0</v>
      </c>
      <c r="G30" s="82">
        <v>0</v>
      </c>
      <c r="H30" s="82">
        <v>0</v>
      </c>
      <c r="I30" s="82"/>
      <c r="J30" s="82">
        <v>0</v>
      </c>
      <c r="K30" s="83"/>
      <c r="L30" s="82">
        <f t="shared" si="13"/>
        <v>0.051806804016</v>
      </c>
      <c r="M30" s="83"/>
      <c r="N30" s="82">
        <f t="shared" si="8"/>
        <v>0</v>
      </c>
      <c r="O30" s="82">
        <f t="shared" si="9"/>
        <v>0</v>
      </c>
      <c r="P30" s="40">
        <f t="shared" si="10"/>
        <v>0</v>
      </c>
      <c r="Q30" s="40">
        <f t="shared" si="11"/>
        <v>0</v>
      </c>
      <c r="R30" s="40">
        <f t="shared" si="12"/>
        <v>0.051806804016</v>
      </c>
      <c r="S30" s="82">
        <f t="shared" si="5"/>
        <v>-0.051806804016</v>
      </c>
      <c r="T30" s="84">
        <f t="shared" si="6"/>
        <v>-100</v>
      </c>
      <c r="U30" s="82">
        <f t="shared" si="7"/>
        <v>-0.051806804016</v>
      </c>
      <c r="V30" s="41"/>
      <c r="W30" s="41"/>
    </row>
    <row r="31" spans="1:23" ht="35.25" customHeight="1">
      <c r="A31" s="44" t="s">
        <v>47</v>
      </c>
      <c r="B31" s="80" t="s">
        <v>263</v>
      </c>
      <c r="C31" s="82">
        <v>0</v>
      </c>
      <c r="D31" s="82">
        <f>141.29128368/1000</f>
        <v>0.14129128368</v>
      </c>
      <c r="E31" s="82">
        <f t="shared" si="3"/>
        <v>0</v>
      </c>
      <c r="F31" s="82">
        <v>0</v>
      </c>
      <c r="G31" s="82">
        <v>0</v>
      </c>
      <c r="H31" s="82">
        <v>0</v>
      </c>
      <c r="I31" s="82"/>
      <c r="J31" s="82">
        <v>0</v>
      </c>
      <c r="K31" s="83"/>
      <c r="L31" s="82">
        <f t="shared" si="13"/>
        <v>0.14129128368</v>
      </c>
      <c r="M31" s="83"/>
      <c r="N31" s="82">
        <f t="shared" si="8"/>
        <v>0</v>
      </c>
      <c r="O31" s="82">
        <f t="shared" si="9"/>
        <v>0</v>
      </c>
      <c r="P31" s="40">
        <f t="shared" si="10"/>
        <v>0</v>
      </c>
      <c r="Q31" s="40">
        <f t="shared" si="11"/>
        <v>0</v>
      </c>
      <c r="R31" s="40">
        <f t="shared" si="12"/>
        <v>0.14129128368</v>
      </c>
      <c r="S31" s="82">
        <f t="shared" si="5"/>
        <v>-0.14129128368</v>
      </c>
      <c r="T31" s="84">
        <f t="shared" si="6"/>
        <v>-100</v>
      </c>
      <c r="U31" s="82">
        <f t="shared" si="7"/>
        <v>-0.14129128368</v>
      </c>
      <c r="V31" s="41"/>
      <c r="W31" s="41"/>
    </row>
    <row r="32" spans="1:23" ht="28.5" customHeight="1">
      <c r="A32" s="44" t="s">
        <v>48</v>
      </c>
      <c r="B32" s="80" t="s">
        <v>264</v>
      </c>
      <c r="C32" s="82">
        <v>0</v>
      </c>
      <c r="D32" s="82">
        <f>117.7427364/1000</f>
        <v>0.11774273639999999</v>
      </c>
      <c r="E32" s="82">
        <f t="shared" si="3"/>
        <v>0</v>
      </c>
      <c r="F32" s="82">
        <v>0</v>
      </c>
      <c r="G32" s="82">
        <v>0</v>
      </c>
      <c r="H32" s="82">
        <v>0</v>
      </c>
      <c r="I32" s="82"/>
      <c r="J32" s="82">
        <v>0</v>
      </c>
      <c r="K32" s="83"/>
      <c r="L32" s="82">
        <f t="shared" si="13"/>
        <v>0.11774273639999999</v>
      </c>
      <c r="M32" s="83"/>
      <c r="N32" s="82">
        <f t="shared" si="8"/>
        <v>0</v>
      </c>
      <c r="O32" s="82">
        <f t="shared" si="9"/>
        <v>0</v>
      </c>
      <c r="P32" s="40">
        <f t="shared" si="10"/>
        <v>0</v>
      </c>
      <c r="Q32" s="40">
        <f t="shared" si="11"/>
        <v>0</v>
      </c>
      <c r="R32" s="40">
        <f t="shared" si="12"/>
        <v>0.11774273639999999</v>
      </c>
      <c r="S32" s="82">
        <f t="shared" si="5"/>
        <v>-0.11774273639999999</v>
      </c>
      <c r="T32" s="84">
        <f t="shared" si="6"/>
        <v>-100</v>
      </c>
      <c r="U32" s="82">
        <f t="shared" si="7"/>
        <v>-0.11774273639999999</v>
      </c>
      <c r="V32" s="41"/>
      <c r="W32" s="41"/>
    </row>
    <row r="33" spans="1:23" ht="28.5" customHeight="1">
      <c r="A33" s="44" t="s">
        <v>49</v>
      </c>
      <c r="B33" s="80" t="s">
        <v>265</v>
      </c>
      <c r="C33" s="82">
        <v>0</v>
      </c>
      <c r="D33" s="82">
        <f>39.5615594304/1000</f>
        <v>0.0395615594304</v>
      </c>
      <c r="E33" s="82">
        <f t="shared" si="3"/>
        <v>0</v>
      </c>
      <c r="F33" s="82">
        <v>0</v>
      </c>
      <c r="G33" s="82">
        <v>0</v>
      </c>
      <c r="H33" s="82">
        <v>0</v>
      </c>
      <c r="I33" s="82"/>
      <c r="J33" s="82">
        <v>0</v>
      </c>
      <c r="K33" s="83"/>
      <c r="L33" s="82">
        <f t="shared" si="13"/>
        <v>0.0395615594304</v>
      </c>
      <c r="M33" s="83"/>
      <c r="N33" s="82">
        <f t="shared" si="8"/>
        <v>0</v>
      </c>
      <c r="O33" s="82">
        <f t="shared" si="9"/>
        <v>0</v>
      </c>
      <c r="P33" s="40">
        <f t="shared" si="10"/>
        <v>0</v>
      </c>
      <c r="Q33" s="40">
        <f t="shared" si="11"/>
        <v>0</v>
      </c>
      <c r="R33" s="40">
        <f t="shared" si="12"/>
        <v>0.0395615594304</v>
      </c>
      <c r="S33" s="82">
        <f t="shared" si="5"/>
        <v>-0.0395615594304</v>
      </c>
      <c r="T33" s="84">
        <f t="shared" si="6"/>
        <v>-100</v>
      </c>
      <c r="U33" s="82">
        <f t="shared" si="7"/>
        <v>-0.0395615594304</v>
      </c>
      <c r="V33" s="41"/>
      <c r="W33" s="41"/>
    </row>
    <row r="34" spans="1:23" ht="30.75" customHeight="1">
      <c r="A34" s="44" t="s">
        <v>50</v>
      </c>
      <c r="B34" s="80" t="s">
        <v>266</v>
      </c>
      <c r="C34" s="82">
        <v>0</v>
      </c>
      <c r="D34" s="82">
        <f>23.54854728/1000</f>
        <v>0.023548547280000002</v>
      </c>
      <c r="E34" s="82">
        <f t="shared" si="3"/>
        <v>0</v>
      </c>
      <c r="F34" s="82">
        <v>0</v>
      </c>
      <c r="G34" s="82">
        <v>0</v>
      </c>
      <c r="H34" s="82">
        <v>0</v>
      </c>
      <c r="I34" s="82"/>
      <c r="J34" s="82">
        <v>0</v>
      </c>
      <c r="K34" s="83"/>
      <c r="L34" s="82">
        <f t="shared" si="13"/>
        <v>0.023548547280000002</v>
      </c>
      <c r="M34" s="83"/>
      <c r="N34" s="82">
        <f t="shared" si="8"/>
        <v>0</v>
      </c>
      <c r="O34" s="82">
        <f t="shared" si="9"/>
        <v>0</v>
      </c>
      <c r="P34" s="40">
        <f t="shared" si="10"/>
        <v>0</v>
      </c>
      <c r="Q34" s="40">
        <f t="shared" si="11"/>
        <v>0</v>
      </c>
      <c r="R34" s="40">
        <f t="shared" si="12"/>
        <v>0.023548547280000002</v>
      </c>
      <c r="S34" s="82">
        <f t="shared" si="5"/>
        <v>-0.023548547280000002</v>
      </c>
      <c r="T34" s="84">
        <f t="shared" si="6"/>
        <v>-100</v>
      </c>
      <c r="U34" s="82">
        <f t="shared" si="7"/>
        <v>-0.023548547280000002</v>
      </c>
      <c r="V34" s="41"/>
      <c r="W34" s="41"/>
    </row>
    <row r="35" spans="1:23" ht="31.5" customHeight="1">
      <c r="A35" s="44" t="s">
        <v>51</v>
      </c>
      <c r="B35" s="80" t="s">
        <v>267</v>
      </c>
      <c r="C35" s="82">
        <v>0</v>
      </c>
      <c r="D35" s="82">
        <f>131.871864768/1000</f>
        <v>0.131871864768</v>
      </c>
      <c r="E35" s="82">
        <f t="shared" si="3"/>
        <v>0</v>
      </c>
      <c r="F35" s="82">
        <v>0</v>
      </c>
      <c r="G35" s="82">
        <v>0</v>
      </c>
      <c r="H35" s="82">
        <v>0</v>
      </c>
      <c r="I35" s="82"/>
      <c r="J35" s="82">
        <v>0</v>
      </c>
      <c r="K35" s="83"/>
      <c r="L35" s="82">
        <f t="shared" si="13"/>
        <v>0.131871864768</v>
      </c>
      <c r="M35" s="83"/>
      <c r="N35" s="82">
        <f t="shared" si="8"/>
        <v>0</v>
      </c>
      <c r="O35" s="82">
        <f t="shared" si="9"/>
        <v>0</v>
      </c>
      <c r="P35" s="40">
        <f t="shared" si="10"/>
        <v>0</v>
      </c>
      <c r="Q35" s="40">
        <f t="shared" si="11"/>
        <v>0</v>
      </c>
      <c r="R35" s="40">
        <f t="shared" si="12"/>
        <v>0.131871864768</v>
      </c>
      <c r="S35" s="82">
        <f t="shared" si="5"/>
        <v>-0.131871864768</v>
      </c>
      <c r="T35" s="84">
        <f t="shared" si="6"/>
        <v>-100</v>
      </c>
      <c r="U35" s="82">
        <f t="shared" si="7"/>
        <v>-0.131871864768</v>
      </c>
      <c r="V35" s="41"/>
      <c r="W35" s="41"/>
    </row>
    <row r="36" spans="1:23" ht="32.25" customHeight="1">
      <c r="A36" s="44" t="s">
        <v>52</v>
      </c>
      <c r="B36" s="80" t="s">
        <v>268</v>
      </c>
      <c r="C36" s="82">
        <v>0</v>
      </c>
      <c r="D36" s="82">
        <f>292.001986272/1000</f>
        <v>0.292001986272</v>
      </c>
      <c r="E36" s="82">
        <f t="shared" si="3"/>
        <v>0</v>
      </c>
      <c r="F36" s="82">
        <v>0</v>
      </c>
      <c r="G36" s="82">
        <v>0</v>
      </c>
      <c r="H36" s="82">
        <v>0</v>
      </c>
      <c r="I36" s="82"/>
      <c r="J36" s="82">
        <v>0</v>
      </c>
      <c r="K36" s="83"/>
      <c r="L36" s="82">
        <f t="shared" si="13"/>
        <v>0.292001986272</v>
      </c>
      <c r="M36" s="83"/>
      <c r="N36" s="82">
        <f t="shared" si="8"/>
        <v>0</v>
      </c>
      <c r="O36" s="82">
        <f t="shared" si="9"/>
        <v>0</v>
      </c>
      <c r="P36" s="40">
        <f t="shared" si="10"/>
        <v>0</v>
      </c>
      <c r="Q36" s="40">
        <f t="shared" si="11"/>
        <v>0</v>
      </c>
      <c r="R36" s="40">
        <f t="shared" si="12"/>
        <v>0.292001986272</v>
      </c>
      <c r="S36" s="82">
        <f t="shared" si="5"/>
        <v>-0.292001986272</v>
      </c>
      <c r="T36" s="84">
        <f t="shared" si="6"/>
        <v>-100</v>
      </c>
      <c r="U36" s="82">
        <f t="shared" si="7"/>
        <v>-0.292001986272</v>
      </c>
      <c r="V36" s="41"/>
      <c r="W36" s="41"/>
    </row>
    <row r="37" spans="1:23" ht="33" customHeight="1">
      <c r="A37" s="44" t="s">
        <v>53</v>
      </c>
      <c r="B37" s="80" t="s">
        <v>269</v>
      </c>
      <c r="C37" s="82">
        <v>0</v>
      </c>
      <c r="D37" s="82">
        <f>94.19418912/1000</f>
        <v>0.09419418912000001</v>
      </c>
      <c r="E37" s="82">
        <f t="shared" si="3"/>
        <v>0</v>
      </c>
      <c r="F37" s="82">
        <v>0</v>
      </c>
      <c r="G37" s="82">
        <v>0</v>
      </c>
      <c r="H37" s="82">
        <v>0</v>
      </c>
      <c r="I37" s="82"/>
      <c r="J37" s="82">
        <v>0</v>
      </c>
      <c r="K37" s="83"/>
      <c r="L37" s="82">
        <f t="shared" si="13"/>
        <v>0.09419418912000001</v>
      </c>
      <c r="M37" s="83"/>
      <c r="N37" s="82">
        <f t="shared" si="8"/>
        <v>0</v>
      </c>
      <c r="O37" s="82">
        <f t="shared" si="9"/>
        <v>0</v>
      </c>
      <c r="P37" s="40">
        <f t="shared" si="10"/>
        <v>0</v>
      </c>
      <c r="Q37" s="40">
        <f t="shared" si="11"/>
        <v>0</v>
      </c>
      <c r="R37" s="40">
        <f t="shared" si="12"/>
        <v>0.09419418912000001</v>
      </c>
      <c r="S37" s="82">
        <f t="shared" si="5"/>
        <v>-0.09419418912000001</v>
      </c>
      <c r="T37" s="84">
        <f t="shared" si="6"/>
        <v>-100</v>
      </c>
      <c r="U37" s="82">
        <f t="shared" si="7"/>
        <v>-0.09419418912000001</v>
      </c>
      <c r="V37" s="41"/>
      <c r="W37" s="41"/>
    </row>
    <row r="38" spans="1:23" ht="36" customHeight="1">
      <c r="A38" s="44" t="s">
        <v>54</v>
      </c>
      <c r="B38" s="80" t="s">
        <v>270</v>
      </c>
      <c r="C38" s="82">
        <v>0</v>
      </c>
      <c r="D38" s="82">
        <f>131.871864768/1000</f>
        <v>0.131871864768</v>
      </c>
      <c r="E38" s="82">
        <f t="shared" si="3"/>
        <v>0</v>
      </c>
      <c r="F38" s="82">
        <v>0</v>
      </c>
      <c r="G38" s="82">
        <v>0</v>
      </c>
      <c r="H38" s="82">
        <v>0</v>
      </c>
      <c r="I38" s="82"/>
      <c r="J38" s="82">
        <v>0</v>
      </c>
      <c r="K38" s="83"/>
      <c r="L38" s="82">
        <f t="shared" si="13"/>
        <v>0.131871864768</v>
      </c>
      <c r="M38" s="83"/>
      <c r="N38" s="82">
        <f t="shared" si="8"/>
        <v>0</v>
      </c>
      <c r="O38" s="82">
        <f t="shared" si="9"/>
        <v>0</v>
      </c>
      <c r="P38" s="40">
        <f t="shared" si="10"/>
        <v>0</v>
      </c>
      <c r="Q38" s="40">
        <f t="shared" si="11"/>
        <v>0</v>
      </c>
      <c r="R38" s="40">
        <f t="shared" si="12"/>
        <v>0.131871864768</v>
      </c>
      <c r="S38" s="82">
        <f t="shared" si="5"/>
        <v>-0.131871864768</v>
      </c>
      <c r="T38" s="84">
        <f t="shared" si="6"/>
        <v>-100</v>
      </c>
      <c r="U38" s="82">
        <f t="shared" si="7"/>
        <v>-0.131871864768</v>
      </c>
      <c r="V38" s="41"/>
      <c r="W38" s="41"/>
    </row>
    <row r="39" spans="1:23" ht="36" customHeight="1">
      <c r="A39" s="44" t="s">
        <v>55</v>
      </c>
      <c r="B39" s="80" t="s">
        <v>271</v>
      </c>
      <c r="C39" s="82">
        <v>0</v>
      </c>
      <c r="D39" s="82">
        <f>188.38837824/1000</f>
        <v>0.18838837824000002</v>
      </c>
      <c r="E39" s="82">
        <f t="shared" si="3"/>
        <v>0</v>
      </c>
      <c r="F39" s="82">
        <v>0</v>
      </c>
      <c r="G39" s="82">
        <v>0</v>
      </c>
      <c r="H39" s="82">
        <v>0</v>
      </c>
      <c r="I39" s="82"/>
      <c r="J39" s="82">
        <v>0</v>
      </c>
      <c r="K39" s="83"/>
      <c r="L39" s="82">
        <f t="shared" si="13"/>
        <v>0.18838837824000002</v>
      </c>
      <c r="M39" s="83"/>
      <c r="N39" s="82">
        <f t="shared" si="8"/>
        <v>0</v>
      </c>
      <c r="O39" s="82">
        <f t="shared" si="9"/>
        <v>0</v>
      </c>
      <c r="P39" s="40">
        <f t="shared" si="10"/>
        <v>0</v>
      </c>
      <c r="Q39" s="40">
        <f t="shared" si="11"/>
        <v>0</v>
      </c>
      <c r="R39" s="40">
        <f t="shared" si="12"/>
        <v>0.18838837824000002</v>
      </c>
      <c r="S39" s="82">
        <f t="shared" si="5"/>
        <v>-0.18838837824000002</v>
      </c>
      <c r="T39" s="84">
        <f t="shared" si="6"/>
        <v>-100</v>
      </c>
      <c r="U39" s="82">
        <f t="shared" si="7"/>
        <v>-0.18838837824000002</v>
      </c>
      <c r="V39" s="41"/>
      <c r="W39" s="41"/>
    </row>
    <row r="40" spans="1:23" ht="31.5" customHeight="1">
      <c r="A40" s="44" t="s">
        <v>56</v>
      </c>
      <c r="B40" s="80" t="s">
        <v>272</v>
      </c>
      <c r="C40" s="82">
        <v>0</v>
      </c>
      <c r="D40" s="82">
        <f>56.516513472/1000</f>
        <v>0.056516513472</v>
      </c>
      <c r="E40" s="82">
        <f t="shared" si="3"/>
        <v>0</v>
      </c>
      <c r="F40" s="82">
        <v>0</v>
      </c>
      <c r="G40" s="82">
        <v>0</v>
      </c>
      <c r="H40" s="82">
        <v>0</v>
      </c>
      <c r="I40" s="82"/>
      <c r="J40" s="82">
        <v>0</v>
      </c>
      <c r="K40" s="83"/>
      <c r="L40" s="82">
        <f t="shared" si="13"/>
        <v>0.056516513472</v>
      </c>
      <c r="M40" s="83"/>
      <c r="N40" s="82">
        <f t="shared" si="8"/>
        <v>0</v>
      </c>
      <c r="O40" s="82">
        <f t="shared" si="9"/>
        <v>0</v>
      </c>
      <c r="P40" s="40">
        <f t="shared" si="10"/>
        <v>0</v>
      </c>
      <c r="Q40" s="40">
        <f t="shared" si="11"/>
        <v>0</v>
      </c>
      <c r="R40" s="40">
        <f t="shared" si="12"/>
        <v>0.056516513472</v>
      </c>
      <c r="S40" s="82">
        <f t="shared" si="5"/>
        <v>-0.056516513472</v>
      </c>
      <c r="T40" s="84">
        <f t="shared" si="6"/>
        <v>-100</v>
      </c>
      <c r="U40" s="82">
        <f t="shared" si="7"/>
        <v>-0.056516513472</v>
      </c>
      <c r="V40" s="41"/>
      <c r="W40" s="41"/>
    </row>
    <row r="41" spans="1:23" ht="33" customHeight="1">
      <c r="A41" s="44" t="s">
        <v>57</v>
      </c>
      <c r="B41" s="80" t="s">
        <v>273</v>
      </c>
      <c r="C41" s="82">
        <v>0</v>
      </c>
      <c r="D41" s="82">
        <f>75.355351296/1000</f>
        <v>0.07535535129599999</v>
      </c>
      <c r="E41" s="82">
        <f t="shared" si="3"/>
        <v>0</v>
      </c>
      <c r="F41" s="82">
        <v>0</v>
      </c>
      <c r="G41" s="82">
        <v>0</v>
      </c>
      <c r="H41" s="82">
        <v>0</v>
      </c>
      <c r="I41" s="82"/>
      <c r="J41" s="82">
        <v>0</v>
      </c>
      <c r="K41" s="83"/>
      <c r="L41" s="82">
        <f t="shared" si="13"/>
        <v>0.07535535129599999</v>
      </c>
      <c r="M41" s="83"/>
      <c r="N41" s="82">
        <f t="shared" si="8"/>
        <v>0</v>
      </c>
      <c r="O41" s="82">
        <f t="shared" si="9"/>
        <v>0</v>
      </c>
      <c r="P41" s="40">
        <f t="shared" si="10"/>
        <v>0</v>
      </c>
      <c r="Q41" s="40">
        <f t="shared" si="11"/>
        <v>0</v>
      </c>
      <c r="R41" s="40">
        <f t="shared" si="12"/>
        <v>0.07535535129599999</v>
      </c>
      <c r="S41" s="82">
        <f t="shared" si="5"/>
        <v>-0.07535535129599999</v>
      </c>
      <c r="T41" s="84">
        <f t="shared" si="6"/>
        <v>-100</v>
      </c>
      <c r="U41" s="82">
        <f t="shared" si="7"/>
        <v>-0.07535535129599999</v>
      </c>
      <c r="V41" s="41"/>
      <c r="W41" s="41"/>
    </row>
    <row r="42" spans="1:23" ht="40.5" customHeight="1">
      <c r="A42" s="44" t="s">
        <v>58</v>
      </c>
      <c r="B42" s="80" t="s">
        <v>274</v>
      </c>
      <c r="C42" s="82">
        <v>0</v>
      </c>
      <c r="D42" s="82">
        <f>207.227216064/1000</f>
        <v>0.207227216064</v>
      </c>
      <c r="E42" s="82">
        <f t="shared" si="3"/>
        <v>0</v>
      </c>
      <c r="F42" s="82">
        <v>0</v>
      </c>
      <c r="G42" s="82">
        <v>0</v>
      </c>
      <c r="H42" s="82">
        <v>0</v>
      </c>
      <c r="I42" s="82"/>
      <c r="J42" s="82">
        <v>0</v>
      </c>
      <c r="K42" s="83"/>
      <c r="L42" s="82">
        <f t="shared" si="13"/>
        <v>0.207227216064</v>
      </c>
      <c r="M42" s="83"/>
      <c r="N42" s="82">
        <f t="shared" si="8"/>
        <v>0</v>
      </c>
      <c r="O42" s="82">
        <f t="shared" si="9"/>
        <v>0</v>
      </c>
      <c r="P42" s="40">
        <f t="shared" si="10"/>
        <v>0</v>
      </c>
      <c r="Q42" s="40">
        <f t="shared" si="11"/>
        <v>0</v>
      </c>
      <c r="R42" s="40">
        <f t="shared" si="12"/>
        <v>0.207227216064</v>
      </c>
      <c r="S42" s="82">
        <f t="shared" si="5"/>
        <v>-0.207227216064</v>
      </c>
      <c r="T42" s="84">
        <f t="shared" si="6"/>
        <v>-100</v>
      </c>
      <c r="U42" s="82">
        <f t="shared" si="7"/>
        <v>-0.207227216064</v>
      </c>
      <c r="V42" s="41"/>
      <c r="W42" s="41"/>
    </row>
    <row r="43" spans="1:23" ht="34.5" customHeight="1">
      <c r="A43" s="44" t="s">
        <v>59</v>
      </c>
      <c r="B43" s="80" t="s">
        <v>275</v>
      </c>
      <c r="C43" s="82">
        <v>0</v>
      </c>
      <c r="D43" s="82">
        <f>37.677675648/1000</f>
        <v>0.037677675647999995</v>
      </c>
      <c r="E43" s="82">
        <f t="shared" si="3"/>
        <v>0</v>
      </c>
      <c r="F43" s="82">
        <v>0</v>
      </c>
      <c r="G43" s="82">
        <v>0</v>
      </c>
      <c r="H43" s="82">
        <v>0</v>
      </c>
      <c r="I43" s="82"/>
      <c r="J43" s="82">
        <v>0</v>
      </c>
      <c r="K43" s="83"/>
      <c r="L43" s="82">
        <f t="shared" si="13"/>
        <v>0.037677675647999995</v>
      </c>
      <c r="M43" s="83"/>
      <c r="N43" s="82">
        <f t="shared" si="8"/>
        <v>0</v>
      </c>
      <c r="O43" s="82">
        <f t="shared" si="9"/>
        <v>0</v>
      </c>
      <c r="P43" s="40">
        <f t="shared" si="10"/>
        <v>0</v>
      </c>
      <c r="Q43" s="40">
        <f t="shared" si="11"/>
        <v>0</v>
      </c>
      <c r="R43" s="40">
        <f t="shared" si="12"/>
        <v>0.037677675647999995</v>
      </c>
      <c r="S43" s="82">
        <f t="shared" si="5"/>
        <v>-0.037677675647999995</v>
      </c>
      <c r="T43" s="84">
        <f t="shared" si="6"/>
        <v>-100</v>
      </c>
      <c r="U43" s="82">
        <f t="shared" si="7"/>
        <v>-0.037677675647999995</v>
      </c>
      <c r="V43" s="41"/>
      <c r="W43" s="41"/>
    </row>
    <row r="44" spans="1:23" ht="32.25" customHeight="1">
      <c r="A44" s="44" t="s">
        <v>60</v>
      </c>
      <c r="B44" s="80" t="s">
        <v>276</v>
      </c>
      <c r="C44" s="82">
        <v>0</v>
      </c>
      <c r="D44" s="82">
        <f>51.806804016/1000</f>
        <v>0.051806804016</v>
      </c>
      <c r="E44" s="82">
        <f t="shared" si="3"/>
        <v>0</v>
      </c>
      <c r="F44" s="82">
        <v>0</v>
      </c>
      <c r="G44" s="82">
        <v>0</v>
      </c>
      <c r="H44" s="82">
        <v>0</v>
      </c>
      <c r="I44" s="82"/>
      <c r="J44" s="82">
        <v>0</v>
      </c>
      <c r="K44" s="83"/>
      <c r="L44" s="82">
        <f t="shared" si="13"/>
        <v>0.051806804016</v>
      </c>
      <c r="M44" s="83"/>
      <c r="N44" s="82">
        <f t="shared" si="8"/>
        <v>0</v>
      </c>
      <c r="O44" s="82">
        <f t="shared" si="9"/>
        <v>0</v>
      </c>
      <c r="P44" s="40">
        <f t="shared" si="10"/>
        <v>0</v>
      </c>
      <c r="Q44" s="40">
        <f t="shared" si="11"/>
        <v>0</v>
      </c>
      <c r="R44" s="40">
        <f t="shared" si="12"/>
        <v>0.051806804016</v>
      </c>
      <c r="S44" s="82">
        <f t="shared" si="5"/>
        <v>-0.051806804016</v>
      </c>
      <c r="T44" s="84">
        <f t="shared" si="6"/>
        <v>-100</v>
      </c>
      <c r="U44" s="82">
        <f t="shared" si="7"/>
        <v>-0.051806804016</v>
      </c>
      <c r="V44" s="41"/>
      <c r="W44" s="41"/>
    </row>
    <row r="45" spans="1:23" ht="36.75" customHeight="1">
      <c r="A45" s="44" t="s">
        <v>61</v>
      </c>
      <c r="B45" s="80" t="s">
        <v>277</v>
      </c>
      <c r="C45" s="82">
        <v>0</v>
      </c>
      <c r="D45" s="82">
        <f>150.710702592/1000</f>
        <v>0.15071070259199998</v>
      </c>
      <c r="E45" s="82">
        <f t="shared" si="3"/>
        <v>0</v>
      </c>
      <c r="F45" s="82">
        <v>0</v>
      </c>
      <c r="G45" s="82">
        <v>0</v>
      </c>
      <c r="H45" s="82">
        <v>0</v>
      </c>
      <c r="I45" s="82"/>
      <c r="J45" s="82">
        <v>0</v>
      </c>
      <c r="K45" s="83"/>
      <c r="L45" s="82">
        <f t="shared" si="13"/>
        <v>0.15071070259199998</v>
      </c>
      <c r="M45" s="83"/>
      <c r="N45" s="82">
        <f t="shared" si="8"/>
        <v>0</v>
      </c>
      <c r="O45" s="82">
        <f t="shared" si="9"/>
        <v>0</v>
      </c>
      <c r="P45" s="40">
        <f t="shared" si="10"/>
        <v>0</v>
      </c>
      <c r="Q45" s="40">
        <f t="shared" si="11"/>
        <v>0</v>
      </c>
      <c r="R45" s="40">
        <f t="shared" si="12"/>
        <v>0.15071070259199998</v>
      </c>
      <c r="S45" s="82">
        <f t="shared" si="5"/>
        <v>-0.15071070259199998</v>
      </c>
      <c r="T45" s="84">
        <f t="shared" si="6"/>
        <v>-100</v>
      </c>
      <c r="U45" s="82">
        <f t="shared" si="7"/>
        <v>-0.15071070259199998</v>
      </c>
      <c r="V45" s="41"/>
      <c r="W45" s="41"/>
    </row>
    <row r="46" spans="1:23" ht="31.5" customHeight="1">
      <c r="A46" s="44" t="s">
        <v>62</v>
      </c>
      <c r="B46" s="80" t="s">
        <v>278</v>
      </c>
      <c r="C46" s="82">
        <v>0</v>
      </c>
      <c r="D46" s="82">
        <f>122.452445856/1000</f>
        <v>0.122452445856</v>
      </c>
      <c r="E46" s="82">
        <f t="shared" si="3"/>
        <v>0</v>
      </c>
      <c r="F46" s="82">
        <v>0</v>
      </c>
      <c r="G46" s="82">
        <v>0</v>
      </c>
      <c r="H46" s="82">
        <v>0</v>
      </c>
      <c r="I46" s="82"/>
      <c r="J46" s="82">
        <v>0</v>
      </c>
      <c r="K46" s="83"/>
      <c r="L46" s="82">
        <f t="shared" si="13"/>
        <v>0.122452445856</v>
      </c>
      <c r="M46" s="83"/>
      <c r="N46" s="82">
        <f t="shared" si="8"/>
        <v>0</v>
      </c>
      <c r="O46" s="82">
        <f t="shared" si="9"/>
        <v>0</v>
      </c>
      <c r="P46" s="40">
        <f t="shared" si="10"/>
        <v>0</v>
      </c>
      <c r="Q46" s="40">
        <f t="shared" si="11"/>
        <v>0</v>
      </c>
      <c r="R46" s="40">
        <f t="shared" si="12"/>
        <v>0.122452445856</v>
      </c>
      <c r="S46" s="82">
        <f t="shared" si="5"/>
        <v>-0.122452445856</v>
      </c>
      <c r="T46" s="84">
        <f t="shared" si="6"/>
        <v>-100</v>
      </c>
      <c r="U46" s="82">
        <f t="shared" si="7"/>
        <v>-0.122452445856</v>
      </c>
      <c r="V46" s="41"/>
      <c r="W46" s="41"/>
    </row>
    <row r="47" spans="1:23" ht="33" customHeight="1">
      <c r="A47" s="44" t="s">
        <v>63</v>
      </c>
      <c r="B47" s="80" t="s">
        <v>279</v>
      </c>
      <c r="C47" s="82">
        <v>0</v>
      </c>
      <c r="D47" s="82">
        <f>146.000993136/1000</f>
        <v>0.146000993136</v>
      </c>
      <c r="E47" s="82">
        <f t="shared" si="3"/>
        <v>0</v>
      </c>
      <c r="F47" s="82">
        <v>0</v>
      </c>
      <c r="G47" s="82">
        <v>0</v>
      </c>
      <c r="H47" s="82">
        <v>0</v>
      </c>
      <c r="I47" s="82"/>
      <c r="J47" s="82">
        <v>0</v>
      </c>
      <c r="K47" s="83"/>
      <c r="L47" s="82">
        <f t="shared" si="13"/>
        <v>0.146000993136</v>
      </c>
      <c r="M47" s="83"/>
      <c r="N47" s="82">
        <f t="shared" si="8"/>
        <v>0</v>
      </c>
      <c r="O47" s="82">
        <f t="shared" si="9"/>
        <v>0</v>
      </c>
      <c r="P47" s="40">
        <f t="shared" si="10"/>
        <v>0</v>
      </c>
      <c r="Q47" s="40">
        <f t="shared" si="11"/>
        <v>0</v>
      </c>
      <c r="R47" s="40">
        <f t="shared" si="12"/>
        <v>0.146000993136</v>
      </c>
      <c r="S47" s="82">
        <f t="shared" si="5"/>
        <v>-0.146000993136</v>
      </c>
      <c r="T47" s="84">
        <f t="shared" si="6"/>
        <v>-100</v>
      </c>
      <c r="U47" s="82">
        <f t="shared" si="7"/>
        <v>-0.146000993136</v>
      </c>
      <c r="V47" s="41"/>
      <c r="W47" s="41"/>
    </row>
    <row r="48" spans="1:23" ht="31.5" customHeight="1">
      <c r="A48" s="44" t="s">
        <v>64</v>
      </c>
      <c r="B48" s="80" t="s">
        <v>280</v>
      </c>
      <c r="C48" s="82">
        <v>0</v>
      </c>
      <c r="D48" s="82">
        <f>273.163148448/1000</f>
        <v>0.273163148448</v>
      </c>
      <c r="E48" s="82">
        <f t="shared" si="3"/>
        <v>0</v>
      </c>
      <c r="F48" s="82">
        <v>0</v>
      </c>
      <c r="G48" s="82">
        <v>0</v>
      </c>
      <c r="H48" s="82">
        <v>0</v>
      </c>
      <c r="I48" s="82"/>
      <c r="J48" s="82">
        <v>0</v>
      </c>
      <c r="K48" s="83"/>
      <c r="L48" s="82">
        <f t="shared" si="13"/>
        <v>0.273163148448</v>
      </c>
      <c r="M48" s="83"/>
      <c r="N48" s="82">
        <f t="shared" si="8"/>
        <v>0</v>
      </c>
      <c r="O48" s="82">
        <f t="shared" si="9"/>
        <v>0</v>
      </c>
      <c r="P48" s="40">
        <f t="shared" si="10"/>
        <v>0</v>
      </c>
      <c r="Q48" s="40">
        <f t="shared" si="11"/>
        <v>0</v>
      </c>
      <c r="R48" s="40">
        <f t="shared" si="12"/>
        <v>0.273163148448</v>
      </c>
      <c r="S48" s="82">
        <f t="shared" si="5"/>
        <v>-0.273163148448</v>
      </c>
      <c r="T48" s="84">
        <f t="shared" si="6"/>
        <v>-100</v>
      </c>
      <c r="U48" s="82">
        <f t="shared" si="7"/>
        <v>-0.273163148448</v>
      </c>
      <c r="V48" s="41"/>
      <c r="W48" s="41"/>
    </row>
    <row r="49" spans="1:23" ht="33.75" customHeight="1">
      <c r="A49" s="44" t="s">
        <v>65</v>
      </c>
      <c r="B49" s="80" t="s">
        <v>281</v>
      </c>
      <c r="C49" s="82">
        <v>0</v>
      </c>
      <c r="D49" s="82">
        <f>329.67966192/1000</f>
        <v>0.32967966192</v>
      </c>
      <c r="E49" s="82">
        <f t="shared" si="3"/>
        <v>0</v>
      </c>
      <c r="F49" s="82">
        <v>0</v>
      </c>
      <c r="G49" s="82">
        <v>0</v>
      </c>
      <c r="H49" s="82">
        <v>0</v>
      </c>
      <c r="I49" s="82"/>
      <c r="J49" s="82">
        <v>0</v>
      </c>
      <c r="K49" s="83"/>
      <c r="L49" s="82">
        <f t="shared" si="13"/>
        <v>0.32967966192</v>
      </c>
      <c r="M49" s="83"/>
      <c r="N49" s="82">
        <f t="shared" si="8"/>
        <v>0</v>
      </c>
      <c r="O49" s="82">
        <f t="shared" si="9"/>
        <v>0</v>
      </c>
      <c r="P49" s="40">
        <f t="shared" si="10"/>
        <v>0</v>
      </c>
      <c r="Q49" s="40">
        <f t="shared" si="11"/>
        <v>0</v>
      </c>
      <c r="R49" s="40">
        <f t="shared" si="12"/>
        <v>0.32967966192</v>
      </c>
      <c r="S49" s="82">
        <f t="shared" si="5"/>
        <v>-0.32967966192</v>
      </c>
      <c r="T49" s="84">
        <f t="shared" si="6"/>
        <v>-100</v>
      </c>
      <c r="U49" s="82">
        <f t="shared" si="7"/>
        <v>-0.32967966192</v>
      </c>
      <c r="V49" s="41"/>
      <c r="W49" s="41"/>
    </row>
    <row r="50" spans="1:23" ht="31.5" customHeight="1">
      <c r="A50" s="44" t="s">
        <v>66</v>
      </c>
      <c r="B50" s="80" t="s">
        <v>282</v>
      </c>
      <c r="C50" s="82">
        <v>0</v>
      </c>
      <c r="D50" s="82">
        <f>70.64564184/1000</f>
        <v>0.07064564184</v>
      </c>
      <c r="E50" s="82">
        <f t="shared" si="3"/>
        <v>0</v>
      </c>
      <c r="F50" s="82">
        <v>0</v>
      </c>
      <c r="G50" s="82">
        <v>0</v>
      </c>
      <c r="H50" s="82">
        <v>0</v>
      </c>
      <c r="I50" s="82"/>
      <c r="J50" s="82">
        <v>0</v>
      </c>
      <c r="K50" s="83"/>
      <c r="L50" s="82">
        <f t="shared" si="13"/>
        <v>0.07064564184</v>
      </c>
      <c r="M50" s="83"/>
      <c r="N50" s="82">
        <f t="shared" si="8"/>
        <v>0</v>
      </c>
      <c r="O50" s="82">
        <f t="shared" si="9"/>
        <v>0</v>
      </c>
      <c r="P50" s="40">
        <f t="shared" si="10"/>
        <v>0</v>
      </c>
      <c r="Q50" s="40">
        <f t="shared" si="11"/>
        <v>0</v>
      </c>
      <c r="R50" s="40">
        <f t="shared" si="12"/>
        <v>0.07064564184</v>
      </c>
      <c r="S50" s="82">
        <f t="shared" si="5"/>
        <v>-0.07064564184</v>
      </c>
      <c r="T50" s="84">
        <f t="shared" si="6"/>
        <v>-100</v>
      </c>
      <c r="U50" s="82">
        <f t="shared" si="7"/>
        <v>-0.07064564184</v>
      </c>
      <c r="V50" s="41"/>
      <c r="W50" s="41"/>
    </row>
    <row r="51" spans="1:23" ht="33" customHeight="1">
      <c r="A51" s="44" t="s">
        <v>67</v>
      </c>
      <c r="B51" s="80" t="s">
        <v>283</v>
      </c>
      <c r="C51" s="82">
        <v>0</v>
      </c>
      <c r="D51" s="82">
        <f>103.613608032/1000</f>
        <v>0.103613608032</v>
      </c>
      <c r="E51" s="82">
        <f aca="true" t="shared" si="14" ref="E51:E72">G51+I51+K51+M51</f>
        <v>0</v>
      </c>
      <c r="F51" s="82">
        <v>0</v>
      </c>
      <c r="G51" s="82">
        <v>0</v>
      </c>
      <c r="H51" s="82">
        <v>0</v>
      </c>
      <c r="I51" s="82"/>
      <c r="J51" s="82">
        <v>0</v>
      </c>
      <c r="K51" s="83"/>
      <c r="L51" s="82">
        <f t="shared" si="13"/>
        <v>0.103613608032</v>
      </c>
      <c r="M51" s="82"/>
      <c r="N51" s="82">
        <f t="shared" si="8"/>
        <v>0</v>
      </c>
      <c r="O51" s="82">
        <f t="shared" si="9"/>
        <v>0</v>
      </c>
      <c r="P51" s="40">
        <f t="shared" si="10"/>
        <v>0</v>
      </c>
      <c r="Q51" s="40">
        <f t="shared" si="11"/>
        <v>0</v>
      </c>
      <c r="R51" s="40">
        <f t="shared" si="12"/>
        <v>0.103613608032</v>
      </c>
      <c r="S51" s="82">
        <f t="shared" si="5"/>
        <v>-0.103613608032</v>
      </c>
      <c r="T51" s="84">
        <f t="shared" si="6"/>
        <v>-100</v>
      </c>
      <c r="U51" s="82">
        <f t="shared" si="7"/>
        <v>-0.103613608032</v>
      </c>
      <c r="V51" s="41"/>
      <c r="W51" s="41"/>
    </row>
    <row r="52" spans="1:23" ht="33" customHeight="1">
      <c r="A52" s="44" t="s">
        <v>68</v>
      </c>
      <c r="B52" s="80" t="s">
        <v>284</v>
      </c>
      <c r="C52" s="82">
        <v>0</v>
      </c>
      <c r="D52" s="82">
        <f>47.09709456/1000</f>
        <v>0.047097094560000004</v>
      </c>
      <c r="E52" s="82">
        <f t="shared" si="14"/>
        <v>0</v>
      </c>
      <c r="F52" s="82">
        <v>0</v>
      </c>
      <c r="G52" s="82">
        <v>0</v>
      </c>
      <c r="H52" s="82">
        <v>0</v>
      </c>
      <c r="I52" s="82"/>
      <c r="J52" s="82">
        <v>0</v>
      </c>
      <c r="K52" s="83"/>
      <c r="L52" s="82">
        <f t="shared" si="13"/>
        <v>0.047097094560000004</v>
      </c>
      <c r="M52" s="82"/>
      <c r="N52" s="82">
        <f t="shared" si="8"/>
        <v>0</v>
      </c>
      <c r="O52" s="82">
        <f t="shared" si="9"/>
        <v>0</v>
      </c>
      <c r="P52" s="40">
        <f t="shared" si="10"/>
        <v>0</v>
      </c>
      <c r="Q52" s="40">
        <f t="shared" si="11"/>
        <v>0</v>
      </c>
      <c r="R52" s="40">
        <f t="shared" si="12"/>
        <v>0.047097094560000004</v>
      </c>
      <c r="S52" s="82">
        <f t="shared" si="5"/>
        <v>-0.047097094560000004</v>
      </c>
      <c r="T52" s="84">
        <f t="shared" si="6"/>
        <v>-100</v>
      </c>
      <c r="U52" s="82">
        <f t="shared" si="7"/>
        <v>-0.047097094560000004</v>
      </c>
      <c r="V52" s="41"/>
      <c r="W52" s="41"/>
    </row>
    <row r="53" spans="1:23" ht="31.5" customHeight="1">
      <c r="A53" s="44" t="s">
        <v>69</v>
      </c>
      <c r="B53" s="80" t="s">
        <v>285</v>
      </c>
      <c r="C53" s="82">
        <v>0</v>
      </c>
      <c r="D53" s="82">
        <f>75.355351296/1000</f>
        <v>0.07535535129599999</v>
      </c>
      <c r="E53" s="82">
        <f t="shared" si="14"/>
        <v>0</v>
      </c>
      <c r="F53" s="82">
        <v>0</v>
      </c>
      <c r="G53" s="82">
        <v>0</v>
      </c>
      <c r="H53" s="82">
        <v>0</v>
      </c>
      <c r="I53" s="82"/>
      <c r="J53" s="82">
        <v>0</v>
      </c>
      <c r="K53" s="83"/>
      <c r="L53" s="82">
        <f t="shared" si="13"/>
        <v>0.07535535129599999</v>
      </c>
      <c r="M53" s="82"/>
      <c r="N53" s="82">
        <f t="shared" si="8"/>
        <v>0</v>
      </c>
      <c r="O53" s="82">
        <f t="shared" si="9"/>
        <v>0</v>
      </c>
      <c r="P53" s="40">
        <f t="shared" si="10"/>
        <v>0</v>
      </c>
      <c r="Q53" s="40">
        <f t="shared" si="11"/>
        <v>0</v>
      </c>
      <c r="R53" s="40">
        <f t="shared" si="12"/>
        <v>0.07535535129599999</v>
      </c>
      <c r="S53" s="82">
        <f t="shared" si="5"/>
        <v>-0.07535535129599999</v>
      </c>
      <c r="T53" s="84">
        <f t="shared" si="6"/>
        <v>-100</v>
      </c>
      <c r="U53" s="82">
        <f t="shared" si="7"/>
        <v>-0.07535535129599999</v>
      </c>
      <c r="V53" s="41"/>
      <c r="W53" s="41"/>
    </row>
    <row r="54" spans="1:23" ht="35.25" customHeight="1">
      <c r="A54" s="44" t="s">
        <v>70</v>
      </c>
      <c r="B54" s="80" t="s">
        <v>286</v>
      </c>
      <c r="C54" s="82">
        <v>0</v>
      </c>
      <c r="D54" s="82">
        <f>75.355351296/1000</f>
        <v>0.07535535129599999</v>
      </c>
      <c r="E54" s="82">
        <f t="shared" si="14"/>
        <v>0</v>
      </c>
      <c r="F54" s="82">
        <v>0</v>
      </c>
      <c r="G54" s="82">
        <v>0</v>
      </c>
      <c r="H54" s="82">
        <v>0</v>
      </c>
      <c r="I54" s="82"/>
      <c r="J54" s="82">
        <v>0</v>
      </c>
      <c r="K54" s="83"/>
      <c r="L54" s="82">
        <f t="shared" si="13"/>
        <v>0.07535535129599999</v>
      </c>
      <c r="M54" s="82"/>
      <c r="N54" s="82">
        <f t="shared" si="8"/>
        <v>0</v>
      </c>
      <c r="O54" s="82">
        <f t="shared" si="9"/>
        <v>0</v>
      </c>
      <c r="P54" s="40">
        <f t="shared" si="10"/>
        <v>0</v>
      </c>
      <c r="Q54" s="40">
        <f t="shared" si="11"/>
        <v>0</v>
      </c>
      <c r="R54" s="40">
        <f t="shared" si="12"/>
        <v>0.07535535129599999</v>
      </c>
      <c r="S54" s="82">
        <f t="shared" si="5"/>
        <v>-0.07535535129599999</v>
      </c>
      <c r="T54" s="84">
        <f t="shared" si="6"/>
        <v>-100</v>
      </c>
      <c r="U54" s="82">
        <f t="shared" si="7"/>
        <v>-0.07535535129599999</v>
      </c>
      <c r="V54" s="41"/>
      <c r="W54" s="41"/>
    </row>
    <row r="55" spans="1:23" ht="30.75" customHeight="1">
      <c r="A55" s="44" t="s">
        <v>71</v>
      </c>
      <c r="B55" s="80" t="s">
        <v>287</v>
      </c>
      <c r="C55" s="82">
        <v>0</v>
      </c>
      <c r="D55" s="82">
        <f>80.065060752/1000</f>
        <v>0.080065060752</v>
      </c>
      <c r="E55" s="82">
        <f t="shared" si="14"/>
        <v>0</v>
      </c>
      <c r="F55" s="82">
        <v>0</v>
      </c>
      <c r="G55" s="82">
        <v>0</v>
      </c>
      <c r="H55" s="82">
        <v>0</v>
      </c>
      <c r="I55" s="82"/>
      <c r="J55" s="82">
        <v>0</v>
      </c>
      <c r="K55" s="83"/>
      <c r="L55" s="82">
        <f t="shared" si="13"/>
        <v>0.080065060752</v>
      </c>
      <c r="M55" s="82"/>
      <c r="N55" s="82">
        <f t="shared" si="8"/>
        <v>0</v>
      </c>
      <c r="O55" s="82">
        <f t="shared" si="9"/>
        <v>0</v>
      </c>
      <c r="P55" s="40">
        <f t="shared" si="10"/>
        <v>0</v>
      </c>
      <c r="Q55" s="40">
        <f t="shared" si="11"/>
        <v>0</v>
      </c>
      <c r="R55" s="40">
        <f t="shared" si="12"/>
        <v>0.080065060752</v>
      </c>
      <c r="S55" s="82">
        <f t="shared" si="5"/>
        <v>-0.080065060752</v>
      </c>
      <c r="T55" s="84">
        <f t="shared" si="6"/>
        <v>-100</v>
      </c>
      <c r="U55" s="82">
        <f t="shared" si="7"/>
        <v>-0.080065060752</v>
      </c>
      <c r="V55" s="41"/>
      <c r="W55" s="41"/>
    </row>
    <row r="56" spans="1:23" ht="33.75" customHeight="1">
      <c r="A56" s="44" t="s">
        <v>72</v>
      </c>
      <c r="B56" s="80" t="s">
        <v>288</v>
      </c>
      <c r="C56" s="82">
        <v>0</v>
      </c>
      <c r="D56" s="82">
        <f>136.581574224/1000</f>
        <v>0.136581574224</v>
      </c>
      <c r="E56" s="82">
        <f t="shared" si="14"/>
        <v>0</v>
      </c>
      <c r="F56" s="82">
        <v>0</v>
      </c>
      <c r="G56" s="82">
        <v>0</v>
      </c>
      <c r="H56" s="82">
        <v>0</v>
      </c>
      <c r="I56" s="82"/>
      <c r="J56" s="82">
        <v>0</v>
      </c>
      <c r="K56" s="83"/>
      <c r="L56" s="82">
        <f t="shared" si="13"/>
        <v>0.136581574224</v>
      </c>
      <c r="M56" s="82"/>
      <c r="N56" s="82">
        <f t="shared" si="8"/>
        <v>0</v>
      </c>
      <c r="O56" s="82">
        <f t="shared" si="9"/>
        <v>0</v>
      </c>
      <c r="P56" s="40">
        <f t="shared" si="10"/>
        <v>0</v>
      </c>
      <c r="Q56" s="40">
        <f t="shared" si="11"/>
        <v>0</v>
      </c>
      <c r="R56" s="40">
        <f t="shared" si="12"/>
        <v>0.136581574224</v>
      </c>
      <c r="S56" s="82">
        <f t="shared" si="5"/>
        <v>-0.136581574224</v>
      </c>
      <c r="T56" s="84">
        <f t="shared" si="6"/>
        <v>-100</v>
      </c>
      <c r="U56" s="82">
        <f t="shared" si="7"/>
        <v>-0.136581574224</v>
      </c>
      <c r="V56" s="41"/>
      <c r="W56" s="41"/>
    </row>
    <row r="57" spans="1:23" ht="34.5" customHeight="1">
      <c r="A57" s="44" t="s">
        <v>73</v>
      </c>
      <c r="B57" s="80" t="s">
        <v>289</v>
      </c>
      <c r="C57" s="82">
        <v>0</v>
      </c>
      <c r="D57" s="82">
        <f>47.09709456/1000</f>
        <v>0.047097094560000004</v>
      </c>
      <c r="E57" s="82">
        <f t="shared" si="14"/>
        <v>0</v>
      </c>
      <c r="F57" s="82">
        <v>0</v>
      </c>
      <c r="G57" s="82">
        <v>0</v>
      </c>
      <c r="H57" s="82">
        <v>0</v>
      </c>
      <c r="I57" s="82"/>
      <c r="J57" s="82">
        <v>0</v>
      </c>
      <c r="K57" s="83"/>
      <c r="L57" s="82">
        <f t="shared" si="13"/>
        <v>0.047097094560000004</v>
      </c>
      <c r="M57" s="82"/>
      <c r="N57" s="82">
        <f t="shared" si="8"/>
        <v>0</v>
      </c>
      <c r="O57" s="82">
        <f t="shared" si="9"/>
        <v>0</v>
      </c>
      <c r="P57" s="40">
        <f t="shared" si="10"/>
        <v>0</v>
      </c>
      <c r="Q57" s="40">
        <f t="shared" si="11"/>
        <v>0</v>
      </c>
      <c r="R57" s="40">
        <f t="shared" si="12"/>
        <v>0.047097094560000004</v>
      </c>
      <c r="S57" s="82">
        <f t="shared" si="5"/>
        <v>-0.047097094560000004</v>
      </c>
      <c r="T57" s="84">
        <f t="shared" si="6"/>
        <v>-100</v>
      </c>
      <c r="U57" s="82">
        <f t="shared" si="7"/>
        <v>-0.047097094560000004</v>
      </c>
      <c r="V57" s="41"/>
      <c r="W57" s="41"/>
    </row>
    <row r="58" spans="1:23" ht="33.75" customHeight="1">
      <c r="A58" s="44" t="s">
        <v>74</v>
      </c>
      <c r="B58" s="80" t="s">
        <v>290</v>
      </c>
      <c r="C58" s="82">
        <v>0</v>
      </c>
      <c r="D58" s="82">
        <f>37.677675648/1000</f>
        <v>0.037677675647999995</v>
      </c>
      <c r="E58" s="82">
        <f t="shared" si="14"/>
        <v>0</v>
      </c>
      <c r="F58" s="82">
        <v>0</v>
      </c>
      <c r="G58" s="82">
        <v>0</v>
      </c>
      <c r="H58" s="82">
        <v>0</v>
      </c>
      <c r="I58" s="82"/>
      <c r="J58" s="82">
        <v>0</v>
      </c>
      <c r="K58" s="83"/>
      <c r="L58" s="82">
        <f t="shared" si="13"/>
        <v>0.037677675647999995</v>
      </c>
      <c r="M58" s="82"/>
      <c r="N58" s="82">
        <f t="shared" si="8"/>
        <v>0</v>
      </c>
      <c r="O58" s="82">
        <f t="shared" si="9"/>
        <v>0</v>
      </c>
      <c r="P58" s="40">
        <f t="shared" si="10"/>
        <v>0</v>
      </c>
      <c r="Q58" s="40">
        <f t="shared" si="11"/>
        <v>0</v>
      </c>
      <c r="R58" s="40">
        <f t="shared" si="12"/>
        <v>0.037677675647999995</v>
      </c>
      <c r="S58" s="82">
        <f t="shared" si="5"/>
        <v>-0.037677675647999995</v>
      </c>
      <c r="T58" s="84">
        <f t="shared" si="6"/>
        <v>-100</v>
      </c>
      <c r="U58" s="82">
        <f t="shared" si="7"/>
        <v>-0.037677675647999995</v>
      </c>
      <c r="V58" s="41"/>
      <c r="W58" s="41"/>
    </row>
    <row r="59" spans="1:23" ht="42.75" customHeight="1">
      <c r="A59" s="44" t="s">
        <v>75</v>
      </c>
      <c r="B59" s="80" t="s">
        <v>291</v>
      </c>
      <c r="C59" s="82">
        <v>0</v>
      </c>
      <c r="D59" s="82">
        <f>28.258256736/1000</f>
        <v>0.028258256736</v>
      </c>
      <c r="E59" s="82">
        <f t="shared" si="14"/>
        <v>0</v>
      </c>
      <c r="F59" s="82">
        <v>0</v>
      </c>
      <c r="G59" s="82">
        <v>0</v>
      </c>
      <c r="H59" s="82">
        <v>0</v>
      </c>
      <c r="I59" s="82"/>
      <c r="J59" s="82">
        <v>0</v>
      </c>
      <c r="K59" s="83"/>
      <c r="L59" s="82">
        <f t="shared" si="13"/>
        <v>0.028258256736</v>
      </c>
      <c r="M59" s="82"/>
      <c r="N59" s="82">
        <f t="shared" si="8"/>
        <v>0</v>
      </c>
      <c r="O59" s="82">
        <f t="shared" si="9"/>
        <v>0</v>
      </c>
      <c r="P59" s="40">
        <f t="shared" si="10"/>
        <v>0</v>
      </c>
      <c r="Q59" s="40">
        <f t="shared" si="11"/>
        <v>0</v>
      </c>
      <c r="R59" s="40">
        <f t="shared" si="12"/>
        <v>0.028258256736</v>
      </c>
      <c r="S59" s="82">
        <f t="shared" si="5"/>
        <v>-0.028258256736</v>
      </c>
      <c r="T59" s="84">
        <f t="shared" si="6"/>
        <v>-100</v>
      </c>
      <c r="U59" s="82">
        <f t="shared" si="7"/>
        <v>-0.028258256736</v>
      </c>
      <c r="V59" s="41"/>
      <c r="W59" s="41"/>
    </row>
    <row r="60" spans="1:23" ht="60">
      <c r="A60" s="44" t="s">
        <v>76</v>
      </c>
      <c r="B60" s="80" t="s">
        <v>292</v>
      </c>
      <c r="C60" s="82">
        <v>0</v>
      </c>
      <c r="D60" s="82">
        <f>18.838837824/1000</f>
        <v>0.018838837823999997</v>
      </c>
      <c r="E60" s="82">
        <f t="shared" si="14"/>
        <v>0</v>
      </c>
      <c r="F60" s="82">
        <v>0</v>
      </c>
      <c r="G60" s="82">
        <v>0</v>
      </c>
      <c r="H60" s="82">
        <v>0</v>
      </c>
      <c r="I60" s="82"/>
      <c r="J60" s="82">
        <v>0</v>
      </c>
      <c r="K60" s="83"/>
      <c r="L60" s="82">
        <f t="shared" si="13"/>
        <v>0.018838837823999997</v>
      </c>
      <c r="M60" s="82"/>
      <c r="N60" s="82">
        <f t="shared" si="8"/>
        <v>0</v>
      </c>
      <c r="O60" s="82">
        <f t="shared" si="9"/>
        <v>0</v>
      </c>
      <c r="P60" s="40">
        <f t="shared" si="10"/>
        <v>0</v>
      </c>
      <c r="Q60" s="40">
        <f t="shared" si="11"/>
        <v>0</v>
      </c>
      <c r="R60" s="40">
        <f t="shared" si="12"/>
        <v>0.018838837823999997</v>
      </c>
      <c r="S60" s="82">
        <f t="shared" si="5"/>
        <v>-0.018838837823999997</v>
      </c>
      <c r="T60" s="84">
        <f t="shared" si="6"/>
        <v>-100</v>
      </c>
      <c r="U60" s="82">
        <f t="shared" si="7"/>
        <v>-0.018838837823999997</v>
      </c>
      <c r="V60" s="41"/>
      <c r="W60" s="41"/>
    </row>
    <row r="61" spans="1:23" ht="34.5" customHeight="1">
      <c r="A61" s="44" t="s">
        <v>77</v>
      </c>
      <c r="B61" s="80" t="s">
        <v>293</v>
      </c>
      <c r="C61" s="82">
        <v>0</v>
      </c>
      <c r="D61" s="82">
        <f>122.452445856/1000</f>
        <v>0.122452445856</v>
      </c>
      <c r="E61" s="82">
        <f t="shared" si="14"/>
        <v>0</v>
      </c>
      <c r="F61" s="82">
        <v>0</v>
      </c>
      <c r="G61" s="82">
        <v>0</v>
      </c>
      <c r="H61" s="82">
        <v>0</v>
      </c>
      <c r="I61" s="82"/>
      <c r="J61" s="82">
        <v>0</v>
      </c>
      <c r="K61" s="83"/>
      <c r="L61" s="82">
        <f t="shared" si="13"/>
        <v>0.122452445856</v>
      </c>
      <c r="M61" s="82"/>
      <c r="N61" s="82">
        <f t="shared" si="8"/>
        <v>0</v>
      </c>
      <c r="O61" s="82">
        <f t="shared" si="9"/>
        <v>0</v>
      </c>
      <c r="P61" s="40">
        <f t="shared" si="10"/>
        <v>0</v>
      </c>
      <c r="Q61" s="40">
        <f t="shared" si="11"/>
        <v>0</v>
      </c>
      <c r="R61" s="40">
        <f t="shared" si="12"/>
        <v>0.122452445856</v>
      </c>
      <c r="S61" s="82">
        <f t="shared" si="5"/>
        <v>-0.122452445856</v>
      </c>
      <c r="T61" s="84">
        <f t="shared" si="6"/>
        <v>-100</v>
      </c>
      <c r="U61" s="82">
        <f t="shared" si="7"/>
        <v>-0.122452445856</v>
      </c>
      <c r="V61" s="41"/>
      <c r="W61" s="41"/>
    </row>
    <row r="62" spans="1:23" ht="28.5" customHeight="1">
      <c r="A62" s="44" t="s">
        <v>78</v>
      </c>
      <c r="B62" s="80" t="s">
        <v>294</v>
      </c>
      <c r="C62" s="82">
        <v>0</v>
      </c>
      <c r="D62" s="82">
        <f>113.033026944/1000</f>
        <v>0.113033026944</v>
      </c>
      <c r="E62" s="82">
        <f t="shared" si="14"/>
        <v>0</v>
      </c>
      <c r="F62" s="82">
        <v>0</v>
      </c>
      <c r="G62" s="82">
        <v>0</v>
      </c>
      <c r="H62" s="82">
        <v>0</v>
      </c>
      <c r="I62" s="82"/>
      <c r="J62" s="82">
        <v>0</v>
      </c>
      <c r="K62" s="83"/>
      <c r="L62" s="82">
        <f t="shared" si="13"/>
        <v>0.113033026944</v>
      </c>
      <c r="M62" s="82"/>
      <c r="N62" s="82">
        <f t="shared" si="8"/>
        <v>0</v>
      </c>
      <c r="O62" s="82">
        <f t="shared" si="9"/>
        <v>0</v>
      </c>
      <c r="P62" s="40">
        <f t="shared" si="10"/>
        <v>0</v>
      </c>
      <c r="Q62" s="40">
        <f t="shared" si="11"/>
        <v>0</v>
      </c>
      <c r="R62" s="40">
        <f t="shared" si="12"/>
        <v>0.113033026944</v>
      </c>
      <c r="S62" s="82">
        <f t="shared" si="5"/>
        <v>-0.113033026944</v>
      </c>
      <c r="T62" s="84">
        <f t="shared" si="6"/>
        <v>-100</v>
      </c>
      <c r="U62" s="82">
        <f t="shared" si="7"/>
        <v>-0.113033026944</v>
      </c>
      <c r="V62" s="41"/>
      <c r="W62" s="41"/>
    </row>
    <row r="63" spans="1:23" ht="36.75" customHeight="1">
      <c r="A63" s="44" t="s">
        <v>79</v>
      </c>
      <c r="B63" s="80" t="s">
        <v>295</v>
      </c>
      <c r="C63" s="82">
        <v>0</v>
      </c>
      <c r="D63" s="82">
        <f>470.9709456/1000</f>
        <v>0.47097094559999997</v>
      </c>
      <c r="E63" s="82">
        <f t="shared" si="14"/>
        <v>0</v>
      </c>
      <c r="F63" s="82">
        <v>0</v>
      </c>
      <c r="G63" s="82">
        <v>0</v>
      </c>
      <c r="H63" s="82">
        <v>0</v>
      </c>
      <c r="I63" s="82"/>
      <c r="J63" s="82">
        <v>0</v>
      </c>
      <c r="K63" s="83"/>
      <c r="L63" s="82">
        <f t="shared" si="13"/>
        <v>0.47097094559999997</v>
      </c>
      <c r="M63" s="82"/>
      <c r="N63" s="82">
        <f t="shared" si="8"/>
        <v>0</v>
      </c>
      <c r="O63" s="82">
        <f t="shared" si="9"/>
        <v>0</v>
      </c>
      <c r="P63" s="40">
        <f t="shared" si="10"/>
        <v>0</v>
      </c>
      <c r="Q63" s="40">
        <f t="shared" si="11"/>
        <v>0</v>
      </c>
      <c r="R63" s="40">
        <f t="shared" si="12"/>
        <v>0.47097094559999997</v>
      </c>
      <c r="S63" s="82">
        <f t="shared" si="5"/>
        <v>-0.47097094559999997</v>
      </c>
      <c r="T63" s="84">
        <f t="shared" si="6"/>
        <v>-100</v>
      </c>
      <c r="U63" s="82">
        <f t="shared" si="7"/>
        <v>-0.47097094559999997</v>
      </c>
      <c r="V63" s="41"/>
      <c r="W63" s="41"/>
    </row>
    <row r="64" spans="1:23" ht="34.5" customHeight="1">
      <c r="A64" s="44" t="s">
        <v>80</v>
      </c>
      <c r="B64" s="80" t="s">
        <v>296</v>
      </c>
      <c r="C64" s="82">
        <v>0</v>
      </c>
      <c r="D64" s="82">
        <f>329.67966192/1000</f>
        <v>0.32967966192</v>
      </c>
      <c r="E64" s="82">
        <f t="shared" si="14"/>
        <v>0</v>
      </c>
      <c r="F64" s="82">
        <v>0</v>
      </c>
      <c r="G64" s="82">
        <v>0</v>
      </c>
      <c r="H64" s="82">
        <v>0</v>
      </c>
      <c r="I64" s="82"/>
      <c r="J64" s="82">
        <v>0</v>
      </c>
      <c r="K64" s="83"/>
      <c r="L64" s="82">
        <f t="shared" si="13"/>
        <v>0.32967966192</v>
      </c>
      <c r="M64" s="82"/>
      <c r="N64" s="82">
        <f t="shared" si="8"/>
        <v>0</v>
      </c>
      <c r="O64" s="82">
        <f t="shared" si="9"/>
        <v>0</v>
      </c>
      <c r="P64" s="40">
        <f t="shared" si="10"/>
        <v>0</v>
      </c>
      <c r="Q64" s="40">
        <f t="shared" si="11"/>
        <v>0</v>
      </c>
      <c r="R64" s="40">
        <f t="shared" si="12"/>
        <v>0.32967966192</v>
      </c>
      <c r="S64" s="82">
        <f t="shared" si="5"/>
        <v>-0.32967966192</v>
      </c>
      <c r="T64" s="84">
        <f t="shared" si="6"/>
        <v>-100</v>
      </c>
      <c r="U64" s="82">
        <f t="shared" si="7"/>
        <v>-0.32967966192</v>
      </c>
      <c r="V64" s="41"/>
      <c r="W64" s="41"/>
    </row>
    <row r="65" spans="1:23" ht="33.75" customHeight="1">
      <c r="A65" s="44" t="s">
        <v>81</v>
      </c>
      <c r="B65" s="80" t="s">
        <v>297</v>
      </c>
      <c r="C65" s="82">
        <v>0</v>
      </c>
      <c r="D65" s="82">
        <f>188.38837824/1000</f>
        <v>0.18838837824000002</v>
      </c>
      <c r="E65" s="82">
        <f t="shared" si="14"/>
        <v>0</v>
      </c>
      <c r="F65" s="82">
        <v>0</v>
      </c>
      <c r="G65" s="82">
        <v>0</v>
      </c>
      <c r="H65" s="82">
        <v>0</v>
      </c>
      <c r="I65" s="82"/>
      <c r="J65" s="82">
        <v>0</v>
      </c>
      <c r="K65" s="83"/>
      <c r="L65" s="82">
        <f t="shared" si="13"/>
        <v>0.18838837824000002</v>
      </c>
      <c r="M65" s="82"/>
      <c r="N65" s="82">
        <f t="shared" si="8"/>
        <v>0</v>
      </c>
      <c r="O65" s="82">
        <f t="shared" si="9"/>
        <v>0</v>
      </c>
      <c r="P65" s="40">
        <f t="shared" si="10"/>
        <v>0</v>
      </c>
      <c r="Q65" s="40">
        <f t="shared" si="11"/>
        <v>0</v>
      </c>
      <c r="R65" s="40">
        <f t="shared" si="12"/>
        <v>0.18838837824000002</v>
      </c>
      <c r="S65" s="82">
        <f t="shared" si="5"/>
        <v>-0.18838837824000002</v>
      </c>
      <c r="T65" s="84">
        <f t="shared" si="6"/>
        <v>-100</v>
      </c>
      <c r="U65" s="82">
        <f t="shared" si="7"/>
        <v>-0.18838837824000002</v>
      </c>
      <c r="V65" s="41"/>
      <c r="W65" s="41"/>
    </row>
    <row r="66" spans="1:23" ht="37.5" customHeight="1">
      <c r="A66" s="44" t="s">
        <v>82</v>
      </c>
      <c r="B66" s="80" t="s">
        <v>298</v>
      </c>
      <c r="C66" s="82">
        <v>0</v>
      </c>
      <c r="D66" s="82">
        <f>329.67966192/1000</f>
        <v>0.32967966192</v>
      </c>
      <c r="E66" s="82">
        <f t="shared" si="14"/>
        <v>0</v>
      </c>
      <c r="F66" s="82">
        <v>0</v>
      </c>
      <c r="G66" s="82">
        <v>0</v>
      </c>
      <c r="H66" s="82">
        <f aca="true" t="shared" si="15" ref="H66:H71">D66</f>
        <v>0.32967966192</v>
      </c>
      <c r="I66" s="82"/>
      <c r="J66" s="82">
        <v>0</v>
      </c>
      <c r="K66" s="83"/>
      <c r="L66" s="82">
        <v>0</v>
      </c>
      <c r="M66" s="82"/>
      <c r="N66" s="82">
        <f t="shared" si="8"/>
        <v>0</v>
      </c>
      <c r="O66" s="82">
        <f t="shared" si="9"/>
        <v>0</v>
      </c>
      <c r="P66" s="40">
        <f t="shared" si="10"/>
        <v>0</v>
      </c>
      <c r="Q66" s="40">
        <f t="shared" si="11"/>
        <v>0</v>
      </c>
      <c r="R66" s="40">
        <f t="shared" si="12"/>
        <v>0.32967966192</v>
      </c>
      <c r="S66" s="82">
        <f t="shared" si="5"/>
        <v>-0.32967966192</v>
      </c>
      <c r="T66" s="84">
        <f t="shared" si="6"/>
        <v>-100</v>
      </c>
      <c r="U66" s="82">
        <f t="shared" si="7"/>
        <v>-0.32967966192</v>
      </c>
      <c r="V66" s="41"/>
      <c r="W66" s="41"/>
    </row>
    <row r="67" spans="1:23" ht="39.75" customHeight="1">
      <c r="A67" s="44" t="s">
        <v>83</v>
      </c>
      <c r="B67" s="80" t="s">
        <v>299</v>
      </c>
      <c r="C67" s="82">
        <v>0</v>
      </c>
      <c r="D67" s="82">
        <f>244.904891712/1000</f>
        <v>0.244904891712</v>
      </c>
      <c r="E67" s="82">
        <f t="shared" si="14"/>
        <v>0</v>
      </c>
      <c r="F67" s="82">
        <v>0</v>
      </c>
      <c r="G67" s="82">
        <v>0</v>
      </c>
      <c r="H67" s="82">
        <f t="shared" si="15"/>
        <v>0.244904891712</v>
      </c>
      <c r="I67" s="82"/>
      <c r="J67" s="82">
        <v>0</v>
      </c>
      <c r="K67" s="83"/>
      <c r="L67" s="82">
        <v>0</v>
      </c>
      <c r="M67" s="82"/>
      <c r="N67" s="82">
        <f t="shared" si="8"/>
        <v>0</v>
      </c>
      <c r="O67" s="82">
        <f t="shared" si="9"/>
        <v>0</v>
      </c>
      <c r="P67" s="40">
        <f t="shared" si="10"/>
        <v>0</v>
      </c>
      <c r="Q67" s="40">
        <f t="shared" si="11"/>
        <v>0</v>
      </c>
      <c r="R67" s="40">
        <f t="shared" si="12"/>
        <v>0.244904891712</v>
      </c>
      <c r="S67" s="82">
        <f t="shared" si="5"/>
        <v>-0.244904891712</v>
      </c>
      <c r="T67" s="84">
        <f t="shared" si="6"/>
        <v>-100</v>
      </c>
      <c r="U67" s="82">
        <f t="shared" si="7"/>
        <v>-0.244904891712</v>
      </c>
      <c r="V67" s="41"/>
      <c r="W67" s="41"/>
    </row>
    <row r="68" spans="1:23" ht="30" customHeight="1">
      <c r="A68" s="44" t="s">
        <v>84</v>
      </c>
      <c r="B68" s="80" t="s">
        <v>300</v>
      </c>
      <c r="C68" s="82">
        <v>0</v>
      </c>
      <c r="D68" s="82">
        <f>376.77675648/1000</f>
        <v>0.37677675648000003</v>
      </c>
      <c r="E68" s="82">
        <f t="shared" si="14"/>
        <v>0</v>
      </c>
      <c r="F68" s="82">
        <v>0</v>
      </c>
      <c r="G68" s="82">
        <v>0</v>
      </c>
      <c r="H68" s="82">
        <f t="shared" si="15"/>
        <v>0.37677675648000003</v>
      </c>
      <c r="I68" s="82"/>
      <c r="J68" s="82">
        <v>0</v>
      </c>
      <c r="K68" s="83"/>
      <c r="L68" s="82">
        <v>0</v>
      </c>
      <c r="M68" s="82"/>
      <c r="N68" s="82">
        <f t="shared" si="8"/>
        <v>0</v>
      </c>
      <c r="O68" s="82">
        <f t="shared" si="9"/>
        <v>0</v>
      </c>
      <c r="P68" s="40">
        <f t="shared" si="10"/>
        <v>0</v>
      </c>
      <c r="Q68" s="40">
        <f t="shared" si="11"/>
        <v>0</v>
      </c>
      <c r="R68" s="40">
        <f t="shared" si="12"/>
        <v>0.37677675648000003</v>
      </c>
      <c r="S68" s="82">
        <f t="shared" si="5"/>
        <v>-0.37677675648000003</v>
      </c>
      <c r="T68" s="84">
        <f t="shared" si="6"/>
        <v>-100</v>
      </c>
      <c r="U68" s="82">
        <f t="shared" si="7"/>
        <v>-0.37677675648000003</v>
      </c>
      <c r="V68" s="41"/>
      <c r="W68" s="41"/>
    </row>
    <row r="69" spans="1:23" ht="35.25" customHeight="1">
      <c r="A69" s="44" t="s">
        <v>85</v>
      </c>
      <c r="B69" s="80" t="s">
        <v>301</v>
      </c>
      <c r="C69" s="82">
        <v>0</v>
      </c>
      <c r="D69" s="82">
        <f>216.646634976/1000</f>
        <v>0.216646634976</v>
      </c>
      <c r="E69" s="82">
        <f t="shared" si="14"/>
        <v>0</v>
      </c>
      <c r="F69" s="82">
        <v>0</v>
      </c>
      <c r="G69" s="82">
        <v>0</v>
      </c>
      <c r="H69" s="82">
        <f t="shared" si="15"/>
        <v>0.216646634976</v>
      </c>
      <c r="I69" s="82"/>
      <c r="J69" s="82">
        <v>0</v>
      </c>
      <c r="K69" s="83"/>
      <c r="L69" s="82">
        <v>0</v>
      </c>
      <c r="M69" s="82"/>
      <c r="N69" s="82">
        <f t="shared" si="8"/>
        <v>0</v>
      </c>
      <c r="O69" s="82">
        <f t="shared" si="9"/>
        <v>0</v>
      </c>
      <c r="P69" s="40">
        <f t="shared" si="10"/>
        <v>0</v>
      </c>
      <c r="Q69" s="40">
        <f t="shared" si="11"/>
        <v>0</v>
      </c>
      <c r="R69" s="40">
        <f t="shared" si="12"/>
        <v>0.216646634976</v>
      </c>
      <c r="S69" s="82">
        <f t="shared" si="5"/>
        <v>-0.216646634976</v>
      </c>
      <c r="T69" s="84">
        <f t="shared" si="6"/>
        <v>-100</v>
      </c>
      <c r="U69" s="82">
        <f t="shared" si="7"/>
        <v>-0.216646634976</v>
      </c>
      <c r="V69" s="41"/>
      <c r="W69" s="41"/>
    </row>
    <row r="70" spans="1:23" ht="35.25" customHeight="1">
      <c r="A70" s="44" t="s">
        <v>86</v>
      </c>
      <c r="B70" s="80" t="s">
        <v>302</v>
      </c>
      <c r="C70" s="82">
        <v>0</v>
      </c>
      <c r="D70" s="82">
        <f>254.324310624/1000</f>
        <v>0.254324310624</v>
      </c>
      <c r="E70" s="82">
        <f t="shared" si="14"/>
        <v>0</v>
      </c>
      <c r="F70" s="82">
        <v>0</v>
      </c>
      <c r="G70" s="82">
        <v>0</v>
      </c>
      <c r="H70" s="82">
        <f t="shared" si="15"/>
        <v>0.254324310624</v>
      </c>
      <c r="I70" s="82"/>
      <c r="J70" s="82">
        <v>0</v>
      </c>
      <c r="K70" s="83"/>
      <c r="L70" s="82">
        <v>0</v>
      </c>
      <c r="M70" s="82"/>
      <c r="N70" s="82">
        <f t="shared" si="8"/>
        <v>0</v>
      </c>
      <c r="O70" s="82">
        <f t="shared" si="9"/>
        <v>0</v>
      </c>
      <c r="P70" s="40">
        <f t="shared" si="10"/>
        <v>0</v>
      </c>
      <c r="Q70" s="40">
        <f t="shared" si="11"/>
        <v>0</v>
      </c>
      <c r="R70" s="40">
        <f t="shared" si="12"/>
        <v>0.254324310624</v>
      </c>
      <c r="S70" s="82">
        <f t="shared" si="5"/>
        <v>-0.254324310624</v>
      </c>
      <c r="T70" s="84">
        <f t="shared" si="6"/>
        <v>-100</v>
      </c>
      <c r="U70" s="82">
        <f t="shared" si="7"/>
        <v>-0.254324310624</v>
      </c>
      <c r="V70" s="41"/>
      <c r="W70" s="41"/>
    </row>
    <row r="71" spans="1:23" ht="33.75" customHeight="1">
      <c r="A71" s="44" t="s">
        <v>87</v>
      </c>
      <c r="B71" s="80" t="s">
        <v>303</v>
      </c>
      <c r="C71" s="82">
        <v>0</v>
      </c>
      <c r="D71" s="82">
        <f>178.968959328/1000</f>
        <v>0.178968959328</v>
      </c>
      <c r="E71" s="82">
        <f t="shared" si="14"/>
        <v>0</v>
      </c>
      <c r="F71" s="82">
        <v>0</v>
      </c>
      <c r="G71" s="82">
        <v>0</v>
      </c>
      <c r="H71" s="82">
        <f t="shared" si="15"/>
        <v>0.178968959328</v>
      </c>
      <c r="I71" s="82"/>
      <c r="J71" s="82">
        <v>0</v>
      </c>
      <c r="K71" s="83"/>
      <c r="L71" s="82">
        <v>0</v>
      </c>
      <c r="M71" s="82"/>
      <c r="N71" s="82">
        <f t="shared" si="8"/>
        <v>0</v>
      </c>
      <c r="O71" s="82">
        <f t="shared" si="9"/>
        <v>0</v>
      </c>
      <c r="P71" s="40">
        <f t="shared" si="10"/>
        <v>0</v>
      </c>
      <c r="Q71" s="40">
        <f t="shared" si="11"/>
        <v>0</v>
      </c>
      <c r="R71" s="40">
        <f t="shared" si="12"/>
        <v>0.178968959328</v>
      </c>
      <c r="S71" s="82">
        <f t="shared" si="5"/>
        <v>-0.178968959328</v>
      </c>
      <c r="T71" s="84">
        <f t="shared" si="6"/>
        <v>-100</v>
      </c>
      <c r="U71" s="82">
        <f t="shared" si="7"/>
        <v>-0.178968959328</v>
      </c>
      <c r="V71" s="41"/>
      <c r="W71" s="41"/>
    </row>
    <row r="72" spans="1:23" ht="35.25" customHeight="1">
      <c r="A72" s="44" t="s">
        <v>88</v>
      </c>
      <c r="B72" s="80" t="s">
        <v>304</v>
      </c>
      <c r="C72" s="82">
        <v>0</v>
      </c>
      <c r="D72" s="82">
        <f>6629.499/1000</f>
        <v>6.629499</v>
      </c>
      <c r="E72" s="82">
        <f t="shared" si="14"/>
        <v>1.69771084</v>
      </c>
      <c r="F72" s="82">
        <f>1438.738*1.18/1000</f>
        <v>1.69771084</v>
      </c>
      <c r="G72" s="82">
        <f>1438.738*1.18/1000</f>
        <v>1.69771084</v>
      </c>
      <c r="H72" s="82">
        <v>0</v>
      </c>
      <c r="I72" s="82"/>
      <c r="J72" s="82">
        <v>0</v>
      </c>
      <c r="K72" s="83"/>
      <c r="L72" s="82">
        <f>D72-F72</f>
        <v>4.93178816</v>
      </c>
      <c r="M72" s="82"/>
      <c r="N72" s="82">
        <f t="shared" si="8"/>
        <v>1.69771084</v>
      </c>
      <c r="O72" s="82">
        <f t="shared" si="9"/>
        <v>1.69771084</v>
      </c>
      <c r="P72" s="40">
        <f t="shared" si="10"/>
        <v>1.69771084</v>
      </c>
      <c r="Q72" s="40">
        <f t="shared" si="11"/>
        <v>1.69771084</v>
      </c>
      <c r="R72" s="40">
        <f>D72-E72</f>
        <v>4.93178816</v>
      </c>
      <c r="S72" s="82">
        <f t="shared" si="5"/>
        <v>-4.93178816</v>
      </c>
      <c r="T72" s="84">
        <f t="shared" si="6"/>
        <v>-74.39156654220778</v>
      </c>
      <c r="U72" s="82">
        <f t="shared" si="7"/>
        <v>-4.93178816</v>
      </c>
      <c r="V72" s="41"/>
      <c r="W72" s="41"/>
    </row>
    <row r="73" spans="1:23" s="45" customFormat="1" ht="14.25">
      <c r="A73" s="43" t="s">
        <v>89</v>
      </c>
      <c r="B73" s="77" t="s">
        <v>90</v>
      </c>
      <c r="C73" s="65">
        <v>0</v>
      </c>
      <c r="D73" s="65">
        <f>SUM(D74:D75)</f>
        <v>2.97745624</v>
      </c>
      <c r="E73" s="65">
        <f aca="true" t="shared" si="16" ref="E73:O73">SUM(E74:E76)</f>
        <v>0</v>
      </c>
      <c r="F73" s="65">
        <f t="shared" si="16"/>
        <v>0</v>
      </c>
      <c r="G73" s="65">
        <f t="shared" si="16"/>
        <v>0</v>
      </c>
      <c r="H73" s="65">
        <f t="shared" si="16"/>
        <v>0</v>
      </c>
      <c r="I73" s="65">
        <f t="shared" si="16"/>
        <v>0</v>
      </c>
      <c r="J73" s="65">
        <f>SUM(J74:J75)</f>
        <v>0</v>
      </c>
      <c r="K73" s="65">
        <f t="shared" si="16"/>
        <v>0</v>
      </c>
      <c r="L73" s="65">
        <f t="shared" si="16"/>
        <v>2.97745624</v>
      </c>
      <c r="M73" s="65">
        <f t="shared" si="16"/>
        <v>0</v>
      </c>
      <c r="N73" s="65">
        <f t="shared" si="8"/>
        <v>0</v>
      </c>
      <c r="O73" s="65">
        <f t="shared" si="16"/>
        <v>0</v>
      </c>
      <c r="P73" s="65">
        <f>N73</f>
        <v>0</v>
      </c>
      <c r="Q73" s="65">
        <f>O73</f>
        <v>0</v>
      </c>
      <c r="R73" s="65">
        <f>SUM(R74:R75)</f>
        <v>2.97745624</v>
      </c>
      <c r="S73" s="39">
        <f>E73-D73</f>
        <v>-2.97745624</v>
      </c>
      <c r="T73" s="81">
        <f>(E73-D73)/D73*100</f>
        <v>-100</v>
      </c>
      <c r="U73" s="39">
        <f>S73</f>
        <v>-2.97745624</v>
      </c>
      <c r="V73" s="42"/>
      <c r="W73" s="42"/>
    </row>
    <row r="74" spans="1:23" ht="72" customHeight="1">
      <c r="A74" s="46" t="s">
        <v>91</v>
      </c>
      <c r="B74" s="80" t="s">
        <v>325</v>
      </c>
      <c r="C74" s="82">
        <v>0</v>
      </c>
      <c r="D74" s="82">
        <f>944.21122/1000</f>
        <v>0.94421122</v>
      </c>
      <c r="E74" s="82">
        <f>G74+I74+K74+M74</f>
        <v>0</v>
      </c>
      <c r="F74" s="82">
        <v>0</v>
      </c>
      <c r="G74" s="82">
        <v>0</v>
      </c>
      <c r="H74" s="82">
        <v>0</v>
      </c>
      <c r="I74" s="82"/>
      <c r="J74" s="82">
        <v>0</v>
      </c>
      <c r="K74" s="82"/>
      <c r="L74" s="82">
        <f>D74</f>
        <v>0.94421122</v>
      </c>
      <c r="M74" s="82"/>
      <c r="N74" s="82">
        <f t="shared" si="8"/>
        <v>0</v>
      </c>
      <c r="O74" s="82">
        <f t="shared" si="9"/>
        <v>0</v>
      </c>
      <c r="P74" s="40">
        <f>N74</f>
        <v>0</v>
      </c>
      <c r="Q74" s="40">
        <f t="shared" si="11"/>
        <v>0</v>
      </c>
      <c r="R74" s="40">
        <f>D74-E74</f>
        <v>0.94421122</v>
      </c>
      <c r="S74" s="82">
        <f>E74-D74</f>
        <v>-0.94421122</v>
      </c>
      <c r="T74" s="84">
        <f>(E74-D74)/D74*100</f>
        <v>-100</v>
      </c>
      <c r="U74" s="82">
        <f>S74</f>
        <v>-0.94421122</v>
      </c>
      <c r="V74" s="41"/>
      <c r="W74" s="41"/>
    </row>
    <row r="75" spans="1:23" ht="41.25" customHeight="1">
      <c r="A75" s="46" t="s">
        <v>92</v>
      </c>
      <c r="B75" s="80" t="s">
        <v>324</v>
      </c>
      <c r="C75" s="82">
        <v>0</v>
      </c>
      <c r="D75" s="82">
        <f>2033.24502/1000</f>
        <v>2.03324502</v>
      </c>
      <c r="E75" s="82">
        <f>G75+I75+K75+M75</f>
        <v>0</v>
      </c>
      <c r="F75" s="82">
        <v>0</v>
      </c>
      <c r="G75" s="82">
        <v>0</v>
      </c>
      <c r="H75" s="82">
        <v>0</v>
      </c>
      <c r="I75" s="82"/>
      <c r="J75" s="82">
        <v>0</v>
      </c>
      <c r="K75" s="82"/>
      <c r="L75" s="82">
        <f>D75</f>
        <v>2.03324502</v>
      </c>
      <c r="M75" s="82"/>
      <c r="N75" s="82">
        <f t="shared" si="8"/>
        <v>0</v>
      </c>
      <c r="O75" s="82">
        <f t="shared" si="9"/>
        <v>0</v>
      </c>
      <c r="P75" s="40">
        <f>N75</f>
        <v>0</v>
      </c>
      <c r="Q75" s="40">
        <f t="shared" si="11"/>
        <v>0</v>
      </c>
      <c r="R75" s="40">
        <f>D75-E75</f>
        <v>2.03324502</v>
      </c>
      <c r="S75" s="82">
        <f>E75-D75</f>
        <v>-2.03324502</v>
      </c>
      <c r="T75" s="84">
        <f>(E75-D75)/D75*100</f>
        <v>-100</v>
      </c>
      <c r="U75" s="82">
        <f>S75</f>
        <v>-2.03324502</v>
      </c>
      <c r="V75" s="41"/>
      <c r="W75" s="41"/>
    </row>
    <row r="76" spans="1:23" s="45" customFormat="1" ht="30" customHeight="1">
      <c r="A76" s="43" t="s">
        <v>132</v>
      </c>
      <c r="B76" s="77" t="s">
        <v>305</v>
      </c>
      <c r="C76" s="65">
        <v>0</v>
      </c>
      <c r="D76" s="65">
        <f>284.7314323136/1000</f>
        <v>0.2847314323136</v>
      </c>
      <c r="E76" s="65">
        <f>G76+I76+K76+M76</f>
        <v>0</v>
      </c>
      <c r="F76" s="65">
        <v>0</v>
      </c>
      <c r="G76" s="65">
        <v>0</v>
      </c>
      <c r="H76" s="65">
        <v>0</v>
      </c>
      <c r="I76" s="65"/>
      <c r="J76" s="65">
        <f>D76</f>
        <v>0.2847314323136</v>
      </c>
      <c r="K76" s="65"/>
      <c r="L76" s="65">
        <v>0</v>
      </c>
      <c r="M76" s="65"/>
      <c r="N76" s="65">
        <f t="shared" si="8"/>
        <v>0</v>
      </c>
      <c r="O76" s="65">
        <f t="shared" si="9"/>
        <v>0</v>
      </c>
      <c r="P76" s="65">
        <f>N76</f>
        <v>0</v>
      </c>
      <c r="Q76" s="65">
        <f t="shared" si="11"/>
        <v>0</v>
      </c>
      <c r="R76" s="65">
        <f>D76-E76</f>
        <v>0.2847314323136</v>
      </c>
      <c r="S76" s="39">
        <f>E76-D76</f>
        <v>-0.2847314323136</v>
      </c>
      <c r="T76" s="81">
        <f>(E76-D76)/D76*100</f>
        <v>-100</v>
      </c>
      <c r="U76" s="39">
        <f>S76</f>
        <v>-0.2847314323136</v>
      </c>
      <c r="V76" s="42"/>
      <c r="W76" s="42"/>
    </row>
    <row r="77" spans="1:23" ht="15">
      <c r="A77" s="34"/>
      <c r="B77" s="75"/>
      <c r="C77" s="30"/>
      <c r="D77" s="30"/>
      <c r="E77" s="30"/>
      <c r="F77" s="30"/>
      <c r="G77" s="30"/>
      <c r="L77" s="30"/>
      <c r="M77" s="30"/>
      <c r="N77" s="30"/>
      <c r="O77" s="30"/>
      <c r="P77" s="30"/>
      <c r="Q77" s="30"/>
      <c r="R77" s="30"/>
      <c r="S77" s="34"/>
      <c r="T77" s="34"/>
      <c r="U77" s="34"/>
      <c r="V77" s="34"/>
      <c r="W77" s="34"/>
    </row>
    <row r="78" spans="1:23" ht="15">
      <c r="A78" s="34"/>
      <c r="B78" s="75"/>
      <c r="C78" s="30"/>
      <c r="D78" s="30"/>
      <c r="E78" s="30"/>
      <c r="F78" s="30"/>
      <c r="G78" s="30"/>
      <c r="L78" s="30"/>
      <c r="M78" s="30"/>
      <c r="N78" s="30"/>
      <c r="O78" s="30"/>
      <c r="P78" s="30"/>
      <c r="Q78" s="30"/>
      <c r="R78" s="30"/>
      <c r="S78" s="34"/>
      <c r="T78" s="34"/>
      <c r="U78" s="34"/>
      <c r="V78" s="34"/>
      <c r="W78" s="34"/>
    </row>
    <row r="79" spans="1:23" ht="22.5" customHeight="1">
      <c r="A79" s="34"/>
      <c r="B79" s="135" t="s">
        <v>93</v>
      </c>
      <c r="C79" s="135"/>
      <c r="D79" s="62"/>
      <c r="E79" s="62"/>
      <c r="F79" s="62"/>
      <c r="G79" s="62"/>
      <c r="H79" s="62"/>
      <c r="L79" s="30"/>
      <c r="M79" s="30"/>
      <c r="N79" s="30"/>
      <c r="O79" s="30"/>
      <c r="P79" s="136"/>
      <c r="Q79" s="136"/>
      <c r="R79" s="30"/>
      <c r="S79" s="34"/>
      <c r="T79" s="135" t="s">
        <v>94</v>
      </c>
      <c r="U79" s="135"/>
      <c r="V79" s="34"/>
      <c r="W79" s="34"/>
    </row>
    <row r="81" ht="15">
      <c r="D81" s="47"/>
    </row>
    <row r="83" spans="4:19" ht="15">
      <c r="D83" s="48">
        <f>D16/1.18*1000</f>
        <v>16888.106</v>
      </c>
      <c r="E83" s="48">
        <f aca="true" t="shared" si="17" ref="E83:L83">E16/1.18*1000</f>
        <v>1438.738</v>
      </c>
      <c r="F83" s="48">
        <f t="shared" si="17"/>
        <v>1438.738</v>
      </c>
      <c r="G83" s="48">
        <f t="shared" si="17"/>
        <v>1438.738</v>
      </c>
      <c r="H83" s="48">
        <f t="shared" si="17"/>
        <v>1357.0349280000003</v>
      </c>
      <c r="I83" s="48">
        <f t="shared" si="17"/>
        <v>0</v>
      </c>
      <c r="J83" s="48">
        <f t="shared" si="17"/>
        <v>2633.1008239945763</v>
      </c>
      <c r="K83" s="48">
        <f t="shared" si="17"/>
        <v>0</v>
      </c>
      <c r="L83" s="48">
        <f t="shared" si="17"/>
        <v>11459.232248005424</v>
      </c>
      <c r="S83" s="109">
        <f>D16-E16</f>
        <v>18.23025424</v>
      </c>
    </row>
  </sheetData>
  <sheetProtection selectLockedCells="1" selectUnlockedCells="1"/>
  <mergeCells count="28">
    <mergeCell ref="B79:C79"/>
    <mergeCell ref="P79:Q79"/>
    <mergeCell ref="T79:U79"/>
    <mergeCell ref="S13:V13"/>
    <mergeCell ref="D14:E14"/>
    <mergeCell ref="F14:G14"/>
    <mergeCell ref="H14:I14"/>
    <mergeCell ref="J14:K14"/>
    <mergeCell ref="L14:M14"/>
    <mergeCell ref="S14:S15"/>
    <mergeCell ref="AR9:AT9"/>
    <mergeCell ref="A11:W11"/>
    <mergeCell ref="A13:A15"/>
    <mergeCell ref="B13:B15"/>
    <mergeCell ref="C13:C15"/>
    <mergeCell ref="D13:M13"/>
    <mergeCell ref="N13:O14"/>
    <mergeCell ref="P13:Q14"/>
    <mergeCell ref="AO9:AQ9"/>
    <mergeCell ref="R13:R15"/>
    <mergeCell ref="W13:W15"/>
    <mergeCell ref="U1:V1"/>
    <mergeCell ref="Y9:AA9"/>
    <mergeCell ref="AB9:AC9"/>
    <mergeCell ref="AD9:AN9"/>
    <mergeCell ref="T5:W5"/>
    <mergeCell ref="T14:T15"/>
    <mergeCell ref="U14:V14"/>
  </mergeCells>
  <printOptions horizontalCentered="1"/>
  <pageMargins left="0.1968503937007874" right="0.1968503937007874" top="0.2755905511811024" bottom="0.2755905511811024" header="0.7874015748031497" footer="0.7874015748031497"/>
  <pageSetup fitToHeight="3" horizontalDpi="300" verticalDpi="300" orientation="landscape" paperSize="21" scale="45" r:id="rId1"/>
  <rowBreaks count="1" manualBreakCount="1">
    <brk id="7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K29"/>
  <sheetViews>
    <sheetView view="pageBreakPreview" zoomScale="75" zoomScaleNormal="110" zoomScaleSheetLayoutView="75" zoomScalePageLayoutView="0" workbookViewId="0" topLeftCell="A1">
      <selection activeCell="C29" sqref="C29"/>
    </sheetView>
  </sheetViews>
  <sheetFormatPr defaultColWidth="13.125" defaultRowHeight="12.75" outlineLevelCol="1"/>
  <cols>
    <col min="1" max="1" width="8.00390625" style="53" customWidth="1"/>
    <col min="2" max="2" width="50.125" style="100" customWidth="1"/>
    <col min="3" max="3" width="11.00390625" style="53" customWidth="1"/>
    <col min="4" max="4" width="11.875" style="53" customWidth="1"/>
    <col min="5" max="6" width="11.75390625" style="53" customWidth="1"/>
    <col min="7" max="33" width="8.875" style="53" customWidth="1"/>
    <col min="34" max="34" width="14.00390625" style="53" customWidth="1"/>
    <col min="35" max="35" width="10.00390625" style="53" customWidth="1"/>
    <col min="36" max="36" width="10.875" style="53" customWidth="1"/>
    <col min="37" max="37" width="0" style="53" hidden="1" customWidth="1" outlineLevel="1"/>
    <col min="38" max="38" width="13.125" style="53" customWidth="1" collapsed="1"/>
    <col min="39" max="16384" width="13.125" style="53" customWidth="1"/>
  </cols>
  <sheetData>
    <row r="1" spans="1:36" ht="14.25" customHeight="1">
      <c r="A1" s="52"/>
      <c r="B1" s="96"/>
      <c r="AG1" s="137" t="s">
        <v>95</v>
      </c>
      <c r="AH1" s="137"/>
      <c r="AI1" s="137"/>
      <c r="AJ1" s="137"/>
    </row>
    <row r="2" spans="1:36" ht="14.25" customHeight="1">
      <c r="A2" s="52"/>
      <c r="B2" s="96"/>
      <c r="AG2" s="137" t="s">
        <v>1</v>
      </c>
      <c r="AH2" s="137"/>
      <c r="AI2" s="137"/>
      <c r="AJ2" s="137"/>
    </row>
    <row r="3" spans="1:36" ht="14.25" customHeight="1">
      <c r="A3" s="52"/>
      <c r="B3" s="96"/>
      <c r="AG3" s="137" t="s">
        <v>2</v>
      </c>
      <c r="AH3" s="137"/>
      <c r="AI3" s="137"/>
      <c r="AJ3" s="137"/>
    </row>
    <row r="4" spans="1:36" ht="14.25" customHeight="1">
      <c r="A4" s="52"/>
      <c r="B4" s="96"/>
      <c r="AG4" s="55"/>
      <c r="AH4" s="55"/>
      <c r="AI4" s="55"/>
      <c r="AJ4" s="55"/>
    </row>
    <row r="5" spans="1:36" ht="14.25" customHeight="1">
      <c r="A5" s="52"/>
      <c r="B5" s="96"/>
      <c r="AG5" s="54"/>
      <c r="AH5" s="54"/>
      <c r="AI5" s="54"/>
      <c r="AJ5" s="54"/>
    </row>
    <row r="6" spans="1:36" ht="67.5" customHeight="1">
      <c r="A6" s="52"/>
      <c r="B6" s="96"/>
      <c r="AG6" s="138" t="s">
        <v>319</v>
      </c>
      <c r="AH6" s="138"/>
      <c r="AI6" s="138"/>
      <c r="AJ6" s="138"/>
    </row>
    <row r="7" spans="1:36" ht="16.5">
      <c r="A7" s="52"/>
      <c r="B7" s="96"/>
      <c r="AG7" s="63"/>
      <c r="AH7" s="63"/>
      <c r="AI7" s="63"/>
      <c r="AJ7" s="63"/>
    </row>
    <row r="8" spans="1:36" ht="14.25" customHeight="1">
      <c r="A8" s="52"/>
      <c r="B8" s="96"/>
      <c r="AG8" s="139"/>
      <c r="AH8" s="139"/>
      <c r="AI8" s="139"/>
      <c r="AJ8" s="139"/>
    </row>
    <row r="9" spans="1:36" ht="12.75" customHeight="1">
      <c r="A9" s="52"/>
      <c r="B9" s="96"/>
      <c r="AG9" s="140" t="s">
        <v>3</v>
      </c>
      <c r="AH9" s="140"/>
      <c r="AI9" s="140"/>
      <c r="AJ9" s="140"/>
    </row>
    <row r="10" spans="1:36" ht="15.75">
      <c r="A10" s="52"/>
      <c r="B10" s="96"/>
      <c r="AG10" s="141" t="s">
        <v>318</v>
      </c>
      <c r="AH10" s="141"/>
      <c r="AI10" s="141"/>
      <c r="AJ10" s="141"/>
    </row>
    <row r="11" spans="1:36" ht="14.25" customHeight="1">
      <c r="A11" s="52"/>
      <c r="B11" s="96"/>
      <c r="AG11" s="137" t="s">
        <v>5</v>
      </c>
      <c r="AH11" s="137"/>
      <c r="AI11" s="137"/>
      <c r="AJ11" s="137"/>
    </row>
    <row r="12" spans="1:2" ht="15.75">
      <c r="A12" s="52"/>
      <c r="B12" s="96"/>
    </row>
    <row r="13" spans="1:36" ht="15.75" customHeight="1">
      <c r="A13" s="142" t="s">
        <v>313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</row>
    <row r="14" spans="1:13" ht="15.75">
      <c r="A14" s="52"/>
      <c r="B14" s="96"/>
      <c r="C14" s="102"/>
      <c r="H14" s="103"/>
      <c r="M14" s="103"/>
    </row>
    <row r="15" spans="1:36" s="28" customFormat="1" ht="36" customHeight="1">
      <c r="A15" s="143" t="s">
        <v>96</v>
      </c>
      <c r="B15" s="144" t="s">
        <v>97</v>
      </c>
      <c r="C15" s="143" t="s">
        <v>98</v>
      </c>
      <c r="D15" s="143"/>
      <c r="E15" s="143"/>
      <c r="F15" s="143"/>
      <c r="G15" s="143"/>
      <c r="H15" s="143" t="s">
        <v>99</v>
      </c>
      <c r="I15" s="143"/>
      <c r="J15" s="143"/>
      <c r="K15" s="143"/>
      <c r="L15" s="143"/>
      <c r="M15" s="143" t="s">
        <v>100</v>
      </c>
      <c r="N15" s="143"/>
      <c r="O15" s="143"/>
      <c r="P15" s="143"/>
      <c r="Q15" s="143"/>
      <c r="R15" s="143" t="s">
        <v>101</v>
      </c>
      <c r="S15" s="143"/>
      <c r="T15" s="143"/>
      <c r="U15" s="143"/>
      <c r="V15" s="143"/>
      <c r="W15" s="143" t="s">
        <v>102</v>
      </c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</row>
    <row r="16" spans="1:36" s="28" customFormat="1" ht="14.25" customHeight="1">
      <c r="A16" s="143"/>
      <c r="B16" s="144"/>
      <c r="C16" s="145" t="s">
        <v>16</v>
      </c>
      <c r="D16" s="145" t="s">
        <v>103</v>
      </c>
      <c r="E16" s="145" t="s">
        <v>104</v>
      </c>
      <c r="F16" s="145" t="s">
        <v>105</v>
      </c>
      <c r="G16" s="145" t="s">
        <v>106</v>
      </c>
      <c r="H16" s="145" t="s">
        <v>16</v>
      </c>
      <c r="I16" s="145" t="s">
        <v>103</v>
      </c>
      <c r="J16" s="145" t="s">
        <v>104</v>
      </c>
      <c r="K16" s="145" t="s">
        <v>105</v>
      </c>
      <c r="L16" s="145" t="s">
        <v>106</v>
      </c>
      <c r="M16" s="145" t="s">
        <v>16</v>
      </c>
      <c r="N16" s="145" t="s">
        <v>103</v>
      </c>
      <c r="O16" s="145" t="s">
        <v>104</v>
      </c>
      <c r="P16" s="145" t="s">
        <v>105</v>
      </c>
      <c r="Q16" s="145" t="s">
        <v>106</v>
      </c>
      <c r="R16" s="145" t="s">
        <v>16</v>
      </c>
      <c r="S16" s="145" t="s">
        <v>103</v>
      </c>
      <c r="T16" s="145" t="s">
        <v>104</v>
      </c>
      <c r="U16" s="145" t="s">
        <v>105</v>
      </c>
      <c r="V16" s="145" t="s">
        <v>106</v>
      </c>
      <c r="W16" s="143" t="s">
        <v>107</v>
      </c>
      <c r="X16" s="143"/>
      <c r="Y16" s="143"/>
      <c r="Z16" s="143"/>
      <c r="AA16" s="143" t="s">
        <v>108</v>
      </c>
      <c r="AB16" s="143"/>
      <c r="AC16" s="143"/>
      <c r="AD16" s="143"/>
      <c r="AE16" s="143" t="s">
        <v>109</v>
      </c>
      <c r="AF16" s="143"/>
      <c r="AG16" s="143"/>
      <c r="AH16" s="143"/>
      <c r="AI16" s="143"/>
      <c r="AJ16" s="143" t="s">
        <v>110</v>
      </c>
    </row>
    <row r="17" spans="1:36" s="28" customFormat="1" ht="105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85" t="s">
        <v>316</v>
      </c>
      <c r="X17" s="85" t="s">
        <v>111</v>
      </c>
      <c r="Y17" s="85" t="s">
        <v>112</v>
      </c>
      <c r="Z17" s="85" t="s">
        <v>113</v>
      </c>
      <c r="AA17" s="85" t="s">
        <v>316</v>
      </c>
      <c r="AB17" s="85" t="s">
        <v>111</v>
      </c>
      <c r="AC17" s="85" t="s">
        <v>114</v>
      </c>
      <c r="AD17" s="85" t="s">
        <v>115</v>
      </c>
      <c r="AE17" s="85" t="s">
        <v>316</v>
      </c>
      <c r="AF17" s="85" t="s">
        <v>111</v>
      </c>
      <c r="AG17" s="85" t="s">
        <v>116</v>
      </c>
      <c r="AH17" s="85" t="s">
        <v>117</v>
      </c>
      <c r="AI17" s="85" t="s">
        <v>118</v>
      </c>
      <c r="AJ17" s="143"/>
    </row>
    <row r="18" spans="1:36" s="28" customFormat="1" ht="15.75">
      <c r="A18" s="85"/>
      <c r="B18" s="97" t="s">
        <v>31</v>
      </c>
      <c r="C18" s="86">
        <f aca="true" t="shared" si="0" ref="C18:V18">C19+C22</f>
        <v>1.69771084</v>
      </c>
      <c r="D18" s="86">
        <f t="shared" si="0"/>
        <v>0.08488554199999987</v>
      </c>
      <c r="E18" s="86">
        <f t="shared" si="0"/>
        <v>0.254656626</v>
      </c>
      <c r="F18" s="86">
        <f t="shared" si="0"/>
        <v>1.3581686720000001</v>
      </c>
      <c r="G18" s="86">
        <f t="shared" si="0"/>
        <v>0</v>
      </c>
      <c r="H18" s="86">
        <f t="shared" si="0"/>
        <v>1.69771084</v>
      </c>
      <c r="I18" s="86">
        <f t="shared" si="0"/>
        <v>0.08488554199999987</v>
      </c>
      <c r="J18" s="86">
        <f t="shared" si="0"/>
        <v>0.254656626</v>
      </c>
      <c r="K18" s="86">
        <f t="shared" si="0"/>
        <v>1.3581686720000001</v>
      </c>
      <c r="L18" s="86">
        <f t="shared" si="0"/>
        <v>0</v>
      </c>
      <c r="M18" s="86">
        <f t="shared" si="0"/>
        <v>0</v>
      </c>
      <c r="N18" s="86">
        <f t="shared" si="0"/>
        <v>0</v>
      </c>
      <c r="O18" s="86">
        <f t="shared" si="0"/>
        <v>0</v>
      </c>
      <c r="P18" s="86">
        <f t="shared" si="0"/>
        <v>0</v>
      </c>
      <c r="Q18" s="86">
        <f t="shared" si="0"/>
        <v>0</v>
      </c>
      <c r="R18" s="86">
        <f t="shared" si="0"/>
        <v>1.69771084</v>
      </c>
      <c r="S18" s="86">
        <f t="shared" si="0"/>
        <v>0.08488554199999987</v>
      </c>
      <c r="T18" s="86">
        <f t="shared" si="0"/>
        <v>0.254656626</v>
      </c>
      <c r="U18" s="86">
        <f t="shared" si="0"/>
        <v>1.3581686720000001</v>
      </c>
      <c r="V18" s="86">
        <f t="shared" si="0"/>
        <v>0</v>
      </c>
      <c r="W18" s="86"/>
      <c r="X18" s="86"/>
      <c r="Y18" s="86">
        <f>Y19+Y22</f>
        <v>0</v>
      </c>
      <c r="Z18" s="86">
        <f>Z19+Z22</f>
        <v>0</v>
      </c>
      <c r="AA18" s="86"/>
      <c r="AB18" s="86"/>
      <c r="AC18" s="86">
        <f>AC19+AC22</f>
        <v>0</v>
      </c>
      <c r="AD18" s="86">
        <f>AD19+AD22</f>
        <v>0</v>
      </c>
      <c r="AE18" s="86"/>
      <c r="AF18" s="86"/>
      <c r="AG18" s="86">
        <f>AG19+AG22</f>
        <v>0</v>
      </c>
      <c r="AH18" s="86">
        <f>AH19+AH22</f>
        <v>0</v>
      </c>
      <c r="AI18" s="86">
        <f>AI19+AI22</f>
        <v>0</v>
      </c>
      <c r="AJ18" s="86">
        <f>AJ19+AJ22</f>
        <v>0</v>
      </c>
    </row>
    <row r="19" spans="1:36" s="28" customFormat="1" ht="63.75" customHeight="1">
      <c r="A19" s="87">
        <v>1</v>
      </c>
      <c r="B19" s="98" t="s">
        <v>32</v>
      </c>
      <c r="C19" s="86">
        <f aca="true" t="shared" si="1" ref="C19:V19">C20</f>
        <v>1.69771084</v>
      </c>
      <c r="D19" s="86">
        <f t="shared" si="1"/>
        <v>0.08488554199999987</v>
      </c>
      <c r="E19" s="86">
        <f t="shared" si="1"/>
        <v>0.254656626</v>
      </c>
      <c r="F19" s="86">
        <f t="shared" si="1"/>
        <v>1.3581686720000001</v>
      </c>
      <c r="G19" s="86">
        <f t="shared" si="1"/>
        <v>0</v>
      </c>
      <c r="H19" s="86">
        <f t="shared" si="1"/>
        <v>1.69771084</v>
      </c>
      <c r="I19" s="86">
        <f t="shared" si="1"/>
        <v>0.08488554199999987</v>
      </c>
      <c r="J19" s="86">
        <f t="shared" si="1"/>
        <v>0.254656626</v>
      </c>
      <c r="K19" s="86">
        <f t="shared" si="1"/>
        <v>1.3581686720000001</v>
      </c>
      <c r="L19" s="86">
        <f t="shared" si="1"/>
        <v>0</v>
      </c>
      <c r="M19" s="86">
        <f t="shared" si="1"/>
        <v>0</v>
      </c>
      <c r="N19" s="86">
        <f t="shared" si="1"/>
        <v>0</v>
      </c>
      <c r="O19" s="86">
        <f t="shared" si="1"/>
        <v>0</v>
      </c>
      <c r="P19" s="86">
        <f t="shared" si="1"/>
        <v>0</v>
      </c>
      <c r="Q19" s="86">
        <f t="shared" si="1"/>
        <v>0</v>
      </c>
      <c r="R19" s="86">
        <f t="shared" si="1"/>
        <v>1.69771084</v>
      </c>
      <c r="S19" s="86">
        <f t="shared" si="1"/>
        <v>0.08488554199999987</v>
      </c>
      <c r="T19" s="86">
        <f t="shared" si="1"/>
        <v>0.254656626</v>
      </c>
      <c r="U19" s="86">
        <f t="shared" si="1"/>
        <v>1.3581686720000001</v>
      </c>
      <c r="V19" s="86">
        <f t="shared" si="1"/>
        <v>0</v>
      </c>
      <c r="W19" s="86"/>
      <c r="X19" s="86"/>
      <c r="Y19" s="86">
        <f>Y20</f>
        <v>0</v>
      </c>
      <c r="Z19" s="86">
        <f>Z20</f>
        <v>0</v>
      </c>
      <c r="AA19" s="86"/>
      <c r="AB19" s="86"/>
      <c r="AC19" s="86">
        <f>AC20</f>
        <v>0</v>
      </c>
      <c r="AD19" s="86">
        <f>AD20</f>
        <v>0</v>
      </c>
      <c r="AE19" s="86"/>
      <c r="AF19" s="86"/>
      <c r="AG19" s="86">
        <f>AG20</f>
        <v>0</v>
      </c>
      <c r="AH19" s="86">
        <f>AH20</f>
        <v>0</v>
      </c>
      <c r="AI19" s="86">
        <f>AI20</f>
        <v>0</v>
      </c>
      <c r="AJ19" s="86">
        <f>AJ20</f>
        <v>0</v>
      </c>
    </row>
    <row r="20" spans="1:36" s="28" customFormat="1" ht="57" customHeight="1">
      <c r="A20" s="88" t="s">
        <v>33</v>
      </c>
      <c r="B20" s="98" t="s">
        <v>34</v>
      </c>
      <c r="C20" s="86">
        <f aca="true" t="shared" si="2" ref="C20:V20">SUM(C21:C21)</f>
        <v>1.69771084</v>
      </c>
      <c r="D20" s="86">
        <f t="shared" si="2"/>
        <v>0.08488554199999987</v>
      </c>
      <c r="E20" s="86">
        <f t="shared" si="2"/>
        <v>0.254656626</v>
      </c>
      <c r="F20" s="86">
        <f t="shared" si="2"/>
        <v>1.3581686720000001</v>
      </c>
      <c r="G20" s="86">
        <f t="shared" si="2"/>
        <v>0</v>
      </c>
      <c r="H20" s="86">
        <f t="shared" si="2"/>
        <v>1.69771084</v>
      </c>
      <c r="I20" s="86">
        <f t="shared" si="2"/>
        <v>0.08488554199999987</v>
      </c>
      <c r="J20" s="86">
        <f t="shared" si="2"/>
        <v>0.254656626</v>
      </c>
      <c r="K20" s="86">
        <f t="shared" si="2"/>
        <v>1.3581686720000001</v>
      </c>
      <c r="L20" s="86">
        <f t="shared" si="2"/>
        <v>0</v>
      </c>
      <c r="M20" s="86">
        <f t="shared" si="2"/>
        <v>0</v>
      </c>
      <c r="N20" s="86">
        <f t="shared" si="2"/>
        <v>0</v>
      </c>
      <c r="O20" s="86">
        <f t="shared" si="2"/>
        <v>0</v>
      </c>
      <c r="P20" s="86">
        <f t="shared" si="2"/>
        <v>0</v>
      </c>
      <c r="Q20" s="86">
        <f t="shared" si="2"/>
        <v>0</v>
      </c>
      <c r="R20" s="86">
        <f t="shared" si="2"/>
        <v>1.69771084</v>
      </c>
      <c r="S20" s="86">
        <f t="shared" si="2"/>
        <v>0.08488554199999987</v>
      </c>
      <c r="T20" s="86">
        <f t="shared" si="2"/>
        <v>0.254656626</v>
      </c>
      <c r="U20" s="86">
        <f t="shared" si="2"/>
        <v>1.3581686720000001</v>
      </c>
      <c r="V20" s="86">
        <f t="shared" si="2"/>
        <v>0</v>
      </c>
      <c r="W20" s="86"/>
      <c r="X20" s="86"/>
      <c r="Y20" s="86">
        <f>SUM(Y21:Y21)</f>
        <v>0</v>
      </c>
      <c r="Z20" s="86">
        <f>SUM(Z21:Z21)</f>
        <v>0</v>
      </c>
      <c r="AA20" s="86"/>
      <c r="AB20" s="86"/>
      <c r="AC20" s="86">
        <f>SUM(AC21:AC21)</f>
        <v>0</v>
      </c>
      <c r="AD20" s="86">
        <f>SUM(AD21:AD21)</f>
        <v>0</v>
      </c>
      <c r="AE20" s="86"/>
      <c r="AF20" s="86"/>
      <c r="AG20" s="86">
        <f>SUM(AG21:AG21)</f>
        <v>0</v>
      </c>
      <c r="AH20" s="86">
        <f>SUM(AH21:AH21)</f>
        <v>0</v>
      </c>
      <c r="AI20" s="86">
        <f>SUM(AI21:AI21)</f>
        <v>0</v>
      </c>
      <c r="AJ20" s="86">
        <f>SUM(AJ21:AJ21)</f>
        <v>0</v>
      </c>
    </row>
    <row r="21" spans="1:36" s="28" customFormat="1" ht="63.75" customHeight="1">
      <c r="A21" s="89" t="s">
        <v>35</v>
      </c>
      <c r="B21" s="99" t="str">
        <f>'[1]7.1'!B69</f>
        <v>  Реконструкция сетей электроснабжения ВЛ-10кВ ф 10-02 то ПС Шекшема</v>
      </c>
      <c r="C21" s="91">
        <f>1438.738*1.18/1000</f>
        <v>1.69771084</v>
      </c>
      <c r="D21" s="91">
        <f>C21-E21-F21</f>
        <v>0.08488554199999987</v>
      </c>
      <c r="E21" s="91">
        <f>C21*0.15</f>
        <v>0.254656626</v>
      </c>
      <c r="F21" s="91">
        <f>C21*0.8</f>
        <v>1.3581686720000001</v>
      </c>
      <c r="G21" s="91">
        <v>0</v>
      </c>
      <c r="H21" s="91">
        <f>1438.738*1.18/1000</f>
        <v>1.69771084</v>
      </c>
      <c r="I21" s="91">
        <f>H21-J21-K21</f>
        <v>0.08488554199999987</v>
      </c>
      <c r="J21" s="91">
        <f>H21*0.15</f>
        <v>0.254656626</v>
      </c>
      <c r="K21" s="91">
        <f>H21*0.8</f>
        <v>1.3581686720000001</v>
      </c>
      <c r="L21" s="91">
        <v>0</v>
      </c>
      <c r="M21" s="90">
        <f>H21-C21</f>
        <v>0</v>
      </c>
      <c r="N21" s="90">
        <f>I21-D21</f>
        <v>0</v>
      </c>
      <c r="O21" s="90">
        <f>J21-E21</f>
        <v>0</v>
      </c>
      <c r="P21" s="90">
        <f>K21-F21</f>
        <v>0</v>
      </c>
      <c r="Q21" s="90">
        <f>L21-G21</f>
        <v>0</v>
      </c>
      <c r="R21" s="90">
        <f>H21</f>
        <v>1.69771084</v>
      </c>
      <c r="S21" s="90">
        <f>I21</f>
        <v>0.08488554199999987</v>
      </c>
      <c r="T21" s="90">
        <f>J21</f>
        <v>0.254656626</v>
      </c>
      <c r="U21" s="90">
        <f>K21</f>
        <v>1.3581686720000001</v>
      </c>
      <c r="V21" s="104">
        <f>L21</f>
        <v>0</v>
      </c>
      <c r="W21" s="92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s="28" customFormat="1" ht="39.75" customHeight="1">
      <c r="A22" s="88" t="s">
        <v>89</v>
      </c>
      <c r="B22" s="98" t="s">
        <v>90</v>
      </c>
      <c r="C22" s="86">
        <f aca="true" t="shared" si="3" ref="C22:AJ22">SUM(C23:C23)</f>
        <v>0</v>
      </c>
      <c r="D22" s="93">
        <f t="shared" si="3"/>
        <v>0</v>
      </c>
      <c r="E22" s="93">
        <f t="shared" si="3"/>
        <v>0</v>
      </c>
      <c r="F22" s="93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0</v>
      </c>
      <c r="J22" s="86">
        <f t="shared" si="3"/>
        <v>0</v>
      </c>
      <c r="K22" s="86">
        <f t="shared" si="3"/>
        <v>0</v>
      </c>
      <c r="L22" s="86">
        <f t="shared" si="3"/>
        <v>0</v>
      </c>
      <c r="M22" s="86">
        <f t="shared" si="3"/>
        <v>0</v>
      </c>
      <c r="N22" s="86">
        <f t="shared" si="3"/>
        <v>0</v>
      </c>
      <c r="O22" s="86">
        <f t="shared" si="3"/>
        <v>0</v>
      </c>
      <c r="P22" s="86">
        <f t="shared" si="3"/>
        <v>0</v>
      </c>
      <c r="Q22" s="86">
        <f t="shared" si="3"/>
        <v>0</v>
      </c>
      <c r="R22" s="86">
        <f t="shared" si="3"/>
        <v>0</v>
      </c>
      <c r="S22" s="86">
        <f t="shared" si="3"/>
        <v>0</v>
      </c>
      <c r="T22" s="86">
        <f t="shared" si="3"/>
        <v>0</v>
      </c>
      <c r="U22" s="86">
        <f t="shared" si="3"/>
        <v>0</v>
      </c>
      <c r="V22" s="86">
        <f t="shared" si="3"/>
        <v>0</v>
      </c>
      <c r="W22" s="86">
        <f t="shared" si="3"/>
        <v>0</v>
      </c>
      <c r="X22" s="86">
        <f t="shared" si="3"/>
        <v>0</v>
      </c>
      <c r="Y22" s="86">
        <f t="shared" si="3"/>
        <v>0</v>
      </c>
      <c r="Z22" s="86">
        <f t="shared" si="3"/>
        <v>0</v>
      </c>
      <c r="AA22" s="86">
        <f t="shared" si="3"/>
        <v>0</v>
      </c>
      <c r="AB22" s="86">
        <f t="shared" si="3"/>
        <v>0</v>
      </c>
      <c r="AC22" s="86">
        <f t="shared" si="3"/>
        <v>0</v>
      </c>
      <c r="AD22" s="86">
        <f t="shared" si="3"/>
        <v>0</v>
      </c>
      <c r="AE22" s="86">
        <f t="shared" si="3"/>
        <v>0</v>
      </c>
      <c r="AF22" s="86">
        <f t="shared" si="3"/>
        <v>0</v>
      </c>
      <c r="AG22" s="86">
        <f t="shared" si="3"/>
        <v>0</v>
      </c>
      <c r="AH22" s="86">
        <f t="shared" si="3"/>
        <v>0</v>
      </c>
      <c r="AI22" s="86">
        <f t="shared" si="3"/>
        <v>0</v>
      </c>
      <c r="AJ22" s="86">
        <f t="shared" si="3"/>
        <v>0</v>
      </c>
    </row>
    <row r="23" spans="1:37" s="28" customFormat="1" ht="43.5" customHeight="1">
      <c r="A23" s="88" t="s">
        <v>132</v>
      </c>
      <c r="B23" s="98" t="str">
        <f>'[1]7.1'!B73</f>
        <v>Приобретение объектов электросетевого хозяйства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105">
        <v>0</v>
      </c>
      <c r="N23" s="105">
        <f>I23-D23</f>
        <v>0</v>
      </c>
      <c r="O23" s="105">
        <f>J23-E23</f>
        <v>0</v>
      </c>
      <c r="P23" s="105">
        <f>K23-F23</f>
        <v>0</v>
      </c>
      <c r="Q23" s="105">
        <f>L23-G23</f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56" t="s">
        <v>306</v>
      </c>
    </row>
    <row r="27" spans="1:20" ht="26.25" customHeight="1">
      <c r="A27" s="135" t="s">
        <v>93</v>
      </c>
      <c r="B27" s="135"/>
      <c r="C27" s="135"/>
      <c r="D27" s="135"/>
      <c r="R27" s="135" t="s">
        <v>94</v>
      </c>
      <c r="S27" s="135"/>
      <c r="T27" s="135"/>
    </row>
    <row r="29" spans="3:18" ht="15.75">
      <c r="C29" s="103">
        <f>C18/1.18</f>
        <v>1.438738</v>
      </c>
      <c r="H29" s="103">
        <f aca="true" t="shared" si="4" ref="H29:R29">H18/1.18</f>
        <v>1.438738</v>
      </c>
      <c r="I29" s="103">
        <f t="shared" si="4"/>
        <v>0.07193689999999989</v>
      </c>
      <c r="J29" s="103">
        <f t="shared" si="4"/>
        <v>0.21581070000000002</v>
      </c>
      <c r="K29" s="103">
        <f t="shared" si="4"/>
        <v>1.1509904000000002</v>
      </c>
      <c r="L29" s="103">
        <f t="shared" si="4"/>
        <v>0</v>
      </c>
      <c r="M29" s="103">
        <f t="shared" si="4"/>
        <v>0</v>
      </c>
      <c r="N29" s="103">
        <f t="shared" si="4"/>
        <v>0</v>
      </c>
      <c r="O29" s="103">
        <f t="shared" si="4"/>
        <v>0</v>
      </c>
      <c r="P29" s="103">
        <f t="shared" si="4"/>
        <v>0</v>
      </c>
      <c r="Q29" s="103">
        <f t="shared" si="4"/>
        <v>0</v>
      </c>
      <c r="R29" s="103">
        <f t="shared" si="4"/>
        <v>1.438738</v>
      </c>
    </row>
  </sheetData>
  <sheetProtection selectLockedCells="1" selectUnlockedCells="1"/>
  <mergeCells count="42">
    <mergeCell ref="AE16:AI16"/>
    <mergeCell ref="AJ16:AJ17"/>
    <mergeCell ref="A27:D27"/>
    <mergeCell ref="R27:T27"/>
    <mergeCell ref="U16:U17"/>
    <mergeCell ref="V16:V17"/>
    <mergeCell ref="W16:Z16"/>
    <mergeCell ref="AA16:AD16"/>
    <mergeCell ref="Q16:Q17"/>
    <mergeCell ref="R16:R17"/>
    <mergeCell ref="S16:S17"/>
    <mergeCell ref="T16:T17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3:AJ13"/>
    <mergeCell ref="A15:A17"/>
    <mergeCell ref="B15:B17"/>
    <mergeCell ref="C15:G15"/>
    <mergeCell ref="H15:L15"/>
    <mergeCell ref="M15:Q15"/>
    <mergeCell ref="R15:V15"/>
    <mergeCell ref="W15:AJ15"/>
    <mergeCell ref="C16:C17"/>
    <mergeCell ref="D16:D17"/>
    <mergeCell ref="AG8:AJ8"/>
    <mergeCell ref="AG9:AJ9"/>
    <mergeCell ref="AG10:AJ10"/>
    <mergeCell ref="AG11:AJ11"/>
    <mergeCell ref="AG1:AJ1"/>
    <mergeCell ref="AG2:AJ2"/>
    <mergeCell ref="AG3:AJ3"/>
    <mergeCell ref="AG6:AJ6"/>
  </mergeCells>
  <printOptions/>
  <pageMargins left="0.19652777777777777" right="0.19652777777777777" top="0.27569444444444446" bottom="0.27569444444444446" header="0.5118055555555555" footer="0.5118055555555555"/>
  <pageSetup fitToHeight="4" fitToWidth="1" horizontalDpi="300" verticalDpi="300" orientation="landscape" paperSize="9" scale="38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30"/>
  <sheetViews>
    <sheetView view="pageBreakPreview" zoomScaleNormal="110" zoomScaleSheetLayoutView="100" zoomScalePageLayoutView="0" workbookViewId="0" topLeftCell="A9">
      <selection activeCell="B30" sqref="B30:B31"/>
    </sheetView>
  </sheetViews>
  <sheetFormatPr defaultColWidth="13.125" defaultRowHeight="12.75"/>
  <cols>
    <col min="1" max="1" width="13.875" style="57" customWidth="1"/>
    <col min="2" max="2" width="29.25390625" style="57" customWidth="1"/>
    <col min="3" max="9" width="13.125" style="57" customWidth="1"/>
    <col min="10" max="10" width="18.25390625" style="57" customWidth="1"/>
    <col min="11" max="16384" width="13.125" style="57" customWidth="1"/>
  </cols>
  <sheetData>
    <row r="1" spans="7:10" ht="12.75" customHeight="1">
      <c r="G1" s="58"/>
      <c r="H1" s="55"/>
      <c r="I1" s="137" t="s">
        <v>119</v>
      </c>
      <c r="J1" s="122"/>
    </row>
    <row r="2" spans="7:10" ht="12.75">
      <c r="G2" s="58"/>
      <c r="H2" s="55"/>
      <c r="I2" s="137" t="s">
        <v>1</v>
      </c>
      <c r="J2" s="122"/>
    </row>
    <row r="3" spans="7:10" ht="12.75">
      <c r="G3" s="58"/>
      <c r="H3" s="55"/>
      <c r="I3" s="137" t="s">
        <v>2</v>
      </c>
      <c r="J3" s="122"/>
    </row>
    <row r="4" spans="7:10" ht="12.75" customHeight="1">
      <c r="G4" s="59"/>
      <c r="H4" s="31"/>
      <c r="I4" s="59"/>
      <c r="J4" s="59"/>
    </row>
    <row r="5" spans="7:10" ht="12.75" customHeight="1">
      <c r="G5" s="59"/>
      <c r="H5" s="31"/>
      <c r="I5" s="59"/>
      <c r="J5" s="59"/>
    </row>
    <row r="6" spans="1:10" ht="12.75" customHeight="1">
      <c r="A6" s="123" t="s">
        <v>314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2.75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ht="12.75" customHeight="1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7:10" ht="69.75" customHeight="1">
      <c r="G9" s="58"/>
      <c r="H9" s="130" t="s">
        <v>310</v>
      </c>
      <c r="I9" s="146"/>
      <c r="J9" s="146"/>
    </row>
    <row r="10" spans="7:10" ht="12.75">
      <c r="G10" s="58"/>
      <c r="H10" s="54"/>
      <c r="I10" s="58"/>
      <c r="J10" s="58"/>
    </row>
    <row r="11" spans="7:10" ht="12.75">
      <c r="G11" s="58"/>
      <c r="H11" s="1"/>
      <c r="I11" s="2"/>
      <c r="J11" s="3"/>
    </row>
    <row r="12" spans="7:11" ht="12.75">
      <c r="G12" s="58"/>
      <c r="H12" s="106"/>
      <c r="I12" s="106"/>
      <c r="J12" s="106" t="s">
        <v>3</v>
      </c>
      <c r="K12" s="106"/>
    </row>
    <row r="13" spans="8:11" ht="12.75">
      <c r="H13" s="106"/>
      <c r="I13" s="106"/>
      <c r="J13" s="108" t="s">
        <v>320</v>
      </c>
      <c r="K13" s="106"/>
    </row>
    <row r="14" spans="8:11" ht="12.75">
      <c r="H14" s="106"/>
      <c r="I14" s="106"/>
      <c r="J14" s="106" t="s">
        <v>5</v>
      </c>
      <c r="K14" s="106"/>
    </row>
    <row r="15" spans="1:10" ht="16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</row>
    <row r="16" ht="15.75">
      <c r="A16" s="61"/>
    </row>
    <row r="17" spans="1:2" ht="15">
      <c r="A17" s="70" t="s">
        <v>307</v>
      </c>
      <c r="B17" s="71"/>
    </row>
    <row r="18" spans="1:2" ht="15">
      <c r="A18" s="72"/>
      <c r="B18" s="71"/>
    </row>
    <row r="19" spans="1:2" ht="15">
      <c r="A19" s="70" t="s">
        <v>308</v>
      </c>
      <c r="B19" s="71"/>
    </row>
    <row r="21" spans="1:10" s="56" customFormat="1" ht="13.5" customHeight="1">
      <c r="A21" s="145" t="s">
        <v>120</v>
      </c>
      <c r="B21" s="145" t="s">
        <v>121</v>
      </c>
      <c r="C21" s="145" t="s">
        <v>122</v>
      </c>
      <c r="D21" s="145"/>
      <c r="E21" s="145"/>
      <c r="F21" s="145"/>
      <c r="G21" s="145" t="s">
        <v>123</v>
      </c>
      <c r="H21" s="145" t="s">
        <v>124</v>
      </c>
      <c r="I21" s="145" t="s">
        <v>125</v>
      </c>
      <c r="J21" s="145" t="s">
        <v>126</v>
      </c>
    </row>
    <row r="22" spans="1:10" s="56" customFormat="1" ht="18" customHeight="1">
      <c r="A22" s="145"/>
      <c r="B22" s="145"/>
      <c r="C22" s="145" t="s">
        <v>127</v>
      </c>
      <c r="D22" s="145"/>
      <c r="E22" s="145" t="s">
        <v>128</v>
      </c>
      <c r="F22" s="145"/>
      <c r="G22" s="145"/>
      <c r="H22" s="145"/>
      <c r="I22" s="145"/>
      <c r="J22" s="145"/>
    </row>
    <row r="23" spans="1:10" s="56" customFormat="1" ht="59.25" customHeight="1">
      <c r="A23" s="145"/>
      <c r="B23" s="145"/>
      <c r="C23" s="85" t="s">
        <v>129</v>
      </c>
      <c r="D23" s="85" t="s">
        <v>130</v>
      </c>
      <c r="E23" s="85" t="s">
        <v>129</v>
      </c>
      <c r="F23" s="85" t="s">
        <v>130</v>
      </c>
      <c r="G23" s="145"/>
      <c r="H23" s="145"/>
      <c r="I23" s="145"/>
      <c r="J23" s="145"/>
    </row>
    <row r="24" spans="1:10" s="56" customFormat="1" ht="15">
      <c r="A24" s="85" t="s">
        <v>131</v>
      </c>
      <c r="B24" s="85" t="s">
        <v>89</v>
      </c>
      <c r="C24" s="85" t="s">
        <v>132</v>
      </c>
      <c r="D24" s="85" t="s">
        <v>133</v>
      </c>
      <c r="E24" s="85" t="s">
        <v>134</v>
      </c>
      <c r="F24" s="85" t="s">
        <v>135</v>
      </c>
      <c r="G24" s="85" t="s">
        <v>136</v>
      </c>
      <c r="H24" s="85" t="s">
        <v>137</v>
      </c>
      <c r="I24" s="85" t="s">
        <v>138</v>
      </c>
      <c r="J24" s="85" t="s">
        <v>139</v>
      </c>
    </row>
    <row r="25" spans="1:10" s="28" customFormat="1" ht="126">
      <c r="A25" s="85"/>
      <c r="B25" s="95" t="s">
        <v>325</v>
      </c>
      <c r="C25" s="85" t="s">
        <v>249</v>
      </c>
      <c r="D25" s="85" t="s">
        <v>249</v>
      </c>
      <c r="E25" s="85"/>
      <c r="F25" s="85"/>
      <c r="G25" s="94"/>
      <c r="H25" s="94"/>
      <c r="I25" s="85"/>
      <c r="J25" s="85"/>
    </row>
    <row r="26" spans="1:10" s="28" customFormat="1" ht="63">
      <c r="A26" s="85"/>
      <c r="B26" s="95" t="s">
        <v>324</v>
      </c>
      <c r="C26" s="85" t="s">
        <v>249</v>
      </c>
      <c r="D26" s="85" t="s">
        <v>249</v>
      </c>
      <c r="E26" s="85"/>
      <c r="F26" s="85"/>
      <c r="G26" s="94"/>
      <c r="H26" s="94"/>
      <c r="I26" s="85"/>
      <c r="J26" s="85"/>
    </row>
    <row r="30" spans="2:9" ht="26.25">
      <c r="B30" s="69" t="s">
        <v>311</v>
      </c>
      <c r="C30" s="69"/>
      <c r="D30" s="69"/>
      <c r="E30" s="69"/>
      <c r="F30" s="69"/>
      <c r="H30" s="69"/>
      <c r="I30" s="69" t="s">
        <v>94</v>
      </c>
    </row>
  </sheetData>
  <sheetProtection selectLockedCells="1" selectUnlockedCells="1"/>
  <mergeCells count="15">
    <mergeCell ref="A15:J15"/>
    <mergeCell ref="J21:J23"/>
    <mergeCell ref="C22:D22"/>
    <mergeCell ref="E22:F22"/>
    <mergeCell ref="A21:A23"/>
    <mergeCell ref="B21:B23"/>
    <mergeCell ref="C21:F21"/>
    <mergeCell ref="G21:G23"/>
    <mergeCell ref="H21:H23"/>
    <mergeCell ref="I21:I23"/>
    <mergeCell ref="H9:J9"/>
    <mergeCell ref="A6:J6"/>
    <mergeCell ref="I1:J1"/>
    <mergeCell ref="I2:J2"/>
    <mergeCell ref="I3:J3"/>
  </mergeCells>
  <printOptions/>
  <pageMargins left="0.7875" right="0.7875" top="1.0527777777777778" bottom="1.0527777777777778" header="0.7875" footer="0.7875"/>
  <pageSetup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EY54"/>
  <sheetViews>
    <sheetView view="pageBreakPreview" zoomScaleNormal="120" zoomScaleSheetLayoutView="100" zoomScalePageLayoutView="0" workbookViewId="0" topLeftCell="A23">
      <selection activeCell="DB54" sqref="DB54:DX54"/>
    </sheetView>
  </sheetViews>
  <sheetFormatPr defaultColWidth="0.875" defaultRowHeight="12.75"/>
  <cols>
    <col min="1" max="154" width="0.875" style="4" customWidth="1"/>
    <col min="155" max="155" width="1.75390625" style="4" customWidth="1"/>
    <col min="156" max="16384" width="0.875" style="4" customWidth="1"/>
  </cols>
  <sheetData>
    <row r="2" spans="132:155" ht="9.75" customHeight="1"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 t="s">
        <v>140</v>
      </c>
    </row>
    <row r="3" spans="131:155" ht="9.75" customHeight="1"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5" t="s">
        <v>1</v>
      </c>
    </row>
    <row r="4" spans="131:155" ht="9.75" customHeight="1"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5" t="s">
        <v>2</v>
      </c>
    </row>
    <row r="5" spans="1:155" s="7" customFormat="1" ht="14.25" customHeight="1">
      <c r="A5" s="119" t="s">
        <v>141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</row>
    <row r="6" spans="1:155" s="7" customFormat="1" ht="14.25" customHeight="1">
      <c r="A6" s="110" t="s">
        <v>142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</row>
    <row r="7" spans="1:155" s="7" customFormat="1" ht="14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</row>
    <row r="8" spans="1:155" s="7" customFormat="1" ht="14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</row>
    <row r="9" spans="127:155" ht="86.25" customHeight="1">
      <c r="DW9" s="8"/>
      <c r="DX9" s="230" t="s">
        <v>143</v>
      </c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</row>
    <row r="10" spans="127:155" ht="12.75">
      <c r="DW10" s="8"/>
      <c r="DX10" s="49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</row>
    <row r="11" spans="127:155" ht="12">
      <c r="DW11" s="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</row>
    <row r="12" spans="127:155" ht="12">
      <c r="DW12" s="8"/>
      <c r="DX12" s="220" t="s">
        <v>3</v>
      </c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</row>
    <row r="13" spans="127:155" ht="12">
      <c r="DW13" s="221" t="s">
        <v>144</v>
      </c>
      <c r="DX13" s="221"/>
      <c r="DY13" s="222" t="s">
        <v>323</v>
      </c>
      <c r="DZ13" s="222"/>
      <c r="EA13" s="222"/>
      <c r="EB13" s="223" t="s">
        <v>144</v>
      </c>
      <c r="EC13" s="223"/>
      <c r="ED13" s="222" t="s">
        <v>321</v>
      </c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1">
        <v>20</v>
      </c>
      <c r="EP13" s="221"/>
      <c r="EQ13" s="221"/>
      <c r="ER13" s="227" t="s">
        <v>322</v>
      </c>
      <c r="ES13" s="227"/>
      <c r="ET13" s="227"/>
      <c r="EU13" s="8"/>
      <c r="EV13" s="11" t="s">
        <v>4</v>
      </c>
      <c r="EW13" s="8"/>
      <c r="EX13" s="8"/>
      <c r="EY13" s="11"/>
    </row>
    <row r="14" spans="127:155" ht="12"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10" t="s">
        <v>6</v>
      </c>
    </row>
    <row r="15" spans="127:155" ht="12"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10"/>
    </row>
    <row r="16" spans="127:155" ht="12"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10"/>
    </row>
    <row r="17" spans="127:155" ht="12"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10"/>
    </row>
    <row r="18" ht="6" customHeight="1" thickBot="1"/>
    <row r="19" spans="1:155" ht="10.5" customHeight="1">
      <c r="A19" s="232" t="s">
        <v>96</v>
      </c>
      <c r="B19" s="211"/>
      <c r="C19" s="211"/>
      <c r="D19" s="211"/>
      <c r="E19" s="211"/>
      <c r="F19" s="211"/>
      <c r="G19" s="232" t="s">
        <v>145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2"/>
      <c r="AO19" s="235" t="s">
        <v>250</v>
      </c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6"/>
      <c r="EA19" s="210" t="s">
        <v>15</v>
      </c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2"/>
    </row>
    <row r="20" spans="1:155" ht="10.5" customHeight="1">
      <c r="A20" s="233"/>
      <c r="B20" s="214"/>
      <c r="C20" s="214"/>
      <c r="D20" s="214"/>
      <c r="E20" s="214"/>
      <c r="F20" s="214"/>
      <c r="G20" s="233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5"/>
      <c r="AO20" s="237" t="s">
        <v>16</v>
      </c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8"/>
      <c r="BG20" s="239" t="s">
        <v>17</v>
      </c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8"/>
      <c r="BY20" s="239" t="s">
        <v>18</v>
      </c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8"/>
      <c r="CQ20" s="239" t="s">
        <v>19</v>
      </c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8"/>
      <c r="DI20" s="239" t="s">
        <v>20</v>
      </c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8"/>
      <c r="EA20" s="213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5"/>
    </row>
    <row r="21" spans="1:155" ht="10.5" customHeight="1" thickBot="1">
      <c r="A21" s="234"/>
      <c r="B21" s="217"/>
      <c r="C21" s="217"/>
      <c r="D21" s="217"/>
      <c r="E21" s="217"/>
      <c r="F21" s="217"/>
      <c r="G21" s="234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8"/>
      <c r="AO21" s="225" t="s">
        <v>146</v>
      </c>
      <c r="AP21" s="225"/>
      <c r="AQ21" s="225"/>
      <c r="AR21" s="225"/>
      <c r="AS21" s="225"/>
      <c r="AT21" s="225"/>
      <c r="AU21" s="225"/>
      <c r="AV21" s="225"/>
      <c r="AW21" s="226"/>
      <c r="AX21" s="224" t="s">
        <v>147</v>
      </c>
      <c r="AY21" s="225"/>
      <c r="AZ21" s="225"/>
      <c r="BA21" s="225"/>
      <c r="BB21" s="225"/>
      <c r="BC21" s="225"/>
      <c r="BD21" s="225"/>
      <c r="BE21" s="225"/>
      <c r="BF21" s="226"/>
      <c r="BG21" s="224" t="s">
        <v>127</v>
      </c>
      <c r="BH21" s="225"/>
      <c r="BI21" s="225"/>
      <c r="BJ21" s="225"/>
      <c r="BK21" s="225"/>
      <c r="BL21" s="225"/>
      <c r="BM21" s="225"/>
      <c r="BN21" s="225"/>
      <c r="BO21" s="226"/>
      <c r="BP21" s="224" t="s">
        <v>128</v>
      </c>
      <c r="BQ21" s="225"/>
      <c r="BR21" s="225"/>
      <c r="BS21" s="225"/>
      <c r="BT21" s="225"/>
      <c r="BU21" s="225"/>
      <c r="BV21" s="225"/>
      <c r="BW21" s="225"/>
      <c r="BX21" s="226"/>
      <c r="BY21" s="224" t="s">
        <v>127</v>
      </c>
      <c r="BZ21" s="225"/>
      <c r="CA21" s="225"/>
      <c r="CB21" s="225"/>
      <c r="CC21" s="225"/>
      <c r="CD21" s="225"/>
      <c r="CE21" s="225"/>
      <c r="CF21" s="225"/>
      <c r="CG21" s="226"/>
      <c r="CH21" s="224" t="s">
        <v>128</v>
      </c>
      <c r="CI21" s="225"/>
      <c r="CJ21" s="225"/>
      <c r="CK21" s="225"/>
      <c r="CL21" s="225"/>
      <c r="CM21" s="225"/>
      <c r="CN21" s="225"/>
      <c r="CO21" s="225"/>
      <c r="CP21" s="226"/>
      <c r="CQ21" s="224" t="s">
        <v>127</v>
      </c>
      <c r="CR21" s="225"/>
      <c r="CS21" s="225"/>
      <c r="CT21" s="225"/>
      <c r="CU21" s="225"/>
      <c r="CV21" s="225"/>
      <c r="CW21" s="225"/>
      <c r="CX21" s="225"/>
      <c r="CY21" s="226"/>
      <c r="CZ21" s="224" t="s">
        <v>128</v>
      </c>
      <c r="DA21" s="225"/>
      <c r="DB21" s="225"/>
      <c r="DC21" s="225"/>
      <c r="DD21" s="225"/>
      <c r="DE21" s="225"/>
      <c r="DF21" s="225"/>
      <c r="DG21" s="225"/>
      <c r="DH21" s="226"/>
      <c r="DI21" s="224" t="s">
        <v>127</v>
      </c>
      <c r="DJ21" s="225"/>
      <c r="DK21" s="225"/>
      <c r="DL21" s="225"/>
      <c r="DM21" s="225"/>
      <c r="DN21" s="225"/>
      <c r="DO21" s="225"/>
      <c r="DP21" s="225"/>
      <c r="DQ21" s="226"/>
      <c r="DR21" s="224" t="s">
        <v>128</v>
      </c>
      <c r="DS21" s="225"/>
      <c r="DT21" s="225"/>
      <c r="DU21" s="225"/>
      <c r="DV21" s="225"/>
      <c r="DW21" s="225"/>
      <c r="DX21" s="225"/>
      <c r="DY21" s="225"/>
      <c r="DZ21" s="226"/>
      <c r="EA21" s="216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8"/>
    </row>
    <row r="22" spans="1:155" ht="26.25" customHeight="1">
      <c r="A22" s="228" t="s">
        <v>148</v>
      </c>
      <c r="B22" s="229"/>
      <c r="C22" s="229"/>
      <c r="D22" s="229"/>
      <c r="E22" s="229"/>
      <c r="F22" s="229"/>
      <c r="G22" s="204" t="s">
        <v>149</v>
      </c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6"/>
      <c r="AO22" s="199">
        <f>AO23+AO30+AO34+AO35+AO37</f>
        <v>16.88811</v>
      </c>
      <c r="AP22" s="199"/>
      <c r="AQ22" s="199"/>
      <c r="AR22" s="199"/>
      <c r="AS22" s="199"/>
      <c r="AT22" s="199"/>
      <c r="AU22" s="199"/>
      <c r="AV22" s="199"/>
      <c r="AW22" s="200"/>
      <c r="AX22" s="198">
        <f>AX23+AX30+AX34+AX35+AX37</f>
        <v>1.438738</v>
      </c>
      <c r="AY22" s="199"/>
      <c r="AZ22" s="199"/>
      <c r="BA22" s="199"/>
      <c r="BB22" s="199"/>
      <c r="BC22" s="199"/>
      <c r="BD22" s="199"/>
      <c r="BE22" s="199"/>
      <c r="BF22" s="200"/>
      <c r="BG22" s="198">
        <f>BG23+BG30+BG34+BG35+BG37</f>
        <v>1.438738</v>
      </c>
      <c r="BH22" s="199"/>
      <c r="BI22" s="199"/>
      <c r="BJ22" s="199"/>
      <c r="BK22" s="199"/>
      <c r="BL22" s="199"/>
      <c r="BM22" s="199"/>
      <c r="BN22" s="199"/>
      <c r="BO22" s="200"/>
      <c r="BP22" s="198">
        <f>BP23+BP30+BP34+BP35+BP37</f>
        <v>1.438738</v>
      </c>
      <c r="BQ22" s="199"/>
      <c r="BR22" s="199"/>
      <c r="BS22" s="199"/>
      <c r="BT22" s="199"/>
      <c r="BU22" s="199"/>
      <c r="BV22" s="199"/>
      <c r="BW22" s="199"/>
      <c r="BX22" s="200"/>
      <c r="BY22" s="198">
        <f>BY23+BY30+BY34+BY35+BY37</f>
        <v>1.357034928</v>
      </c>
      <c r="BZ22" s="199"/>
      <c r="CA22" s="199"/>
      <c r="CB22" s="199"/>
      <c r="CC22" s="199"/>
      <c r="CD22" s="199"/>
      <c r="CE22" s="199"/>
      <c r="CF22" s="199"/>
      <c r="CG22" s="200"/>
      <c r="CH22" s="198">
        <f>CH23+CH30+CH34+CH35+CH37</f>
        <v>0</v>
      </c>
      <c r="CI22" s="199"/>
      <c r="CJ22" s="199"/>
      <c r="CK22" s="199"/>
      <c r="CL22" s="199"/>
      <c r="CM22" s="199"/>
      <c r="CN22" s="199"/>
      <c r="CO22" s="199"/>
      <c r="CP22" s="200"/>
      <c r="CQ22" s="198">
        <f>CQ23+CQ30+CQ34+CQ35+CQ37</f>
        <v>2.63310082399458</v>
      </c>
      <c r="CR22" s="199"/>
      <c r="CS22" s="199"/>
      <c r="CT22" s="199"/>
      <c r="CU22" s="199"/>
      <c r="CV22" s="199"/>
      <c r="CW22" s="199"/>
      <c r="CX22" s="199"/>
      <c r="CY22" s="200"/>
      <c r="CZ22" s="198">
        <f>CZ23+CZ30+CZ34+CZ35+CZ37</f>
        <v>0</v>
      </c>
      <c r="DA22" s="199"/>
      <c r="DB22" s="199"/>
      <c r="DC22" s="199"/>
      <c r="DD22" s="199"/>
      <c r="DE22" s="199"/>
      <c r="DF22" s="199"/>
      <c r="DG22" s="199"/>
      <c r="DH22" s="200"/>
      <c r="DI22" s="198">
        <f>DI23+DI30+DI34+DI35+DI37</f>
        <v>11.459236248005421</v>
      </c>
      <c r="DJ22" s="199"/>
      <c r="DK22" s="199"/>
      <c r="DL22" s="199"/>
      <c r="DM22" s="199"/>
      <c r="DN22" s="199"/>
      <c r="DO22" s="199"/>
      <c r="DP22" s="199"/>
      <c r="DQ22" s="200"/>
      <c r="DR22" s="198">
        <f>DR23+DR30+DR34+DR35+DR37</f>
        <v>0</v>
      </c>
      <c r="DS22" s="199"/>
      <c r="DT22" s="199"/>
      <c r="DU22" s="199"/>
      <c r="DV22" s="199"/>
      <c r="DW22" s="199"/>
      <c r="DX22" s="199"/>
      <c r="DY22" s="199"/>
      <c r="DZ22" s="200"/>
      <c r="EA22" s="201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3"/>
    </row>
    <row r="23" spans="1:155" ht="21" customHeight="1">
      <c r="A23" s="159" t="s">
        <v>150</v>
      </c>
      <c r="B23" s="160"/>
      <c r="C23" s="160"/>
      <c r="D23" s="160"/>
      <c r="E23" s="160"/>
      <c r="F23" s="160"/>
      <c r="G23" s="164" t="s">
        <v>151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6"/>
      <c r="AO23" s="154">
        <f>AO24+AO25+AO26+AO29</f>
        <v>4.57889</v>
      </c>
      <c r="AP23" s="154"/>
      <c r="AQ23" s="154"/>
      <c r="AR23" s="154"/>
      <c r="AS23" s="154"/>
      <c r="AT23" s="154"/>
      <c r="AU23" s="154"/>
      <c r="AV23" s="154"/>
      <c r="AW23" s="155"/>
      <c r="AX23" s="153">
        <f>AX24+AX25+AX26+AX29</f>
        <v>0</v>
      </c>
      <c r="AY23" s="154"/>
      <c r="AZ23" s="154"/>
      <c r="BA23" s="154"/>
      <c r="BB23" s="154"/>
      <c r="BC23" s="154"/>
      <c r="BD23" s="154"/>
      <c r="BE23" s="154"/>
      <c r="BF23" s="155"/>
      <c r="BG23" s="153">
        <f>BG24+BG25+BG26+BG29</f>
        <v>0</v>
      </c>
      <c r="BH23" s="154"/>
      <c r="BI23" s="154"/>
      <c r="BJ23" s="154"/>
      <c r="BK23" s="154"/>
      <c r="BL23" s="154"/>
      <c r="BM23" s="154"/>
      <c r="BN23" s="154"/>
      <c r="BO23" s="155"/>
      <c r="BP23" s="153">
        <f>BP24+BP25+BP26+BP29</f>
        <v>0</v>
      </c>
      <c r="BQ23" s="154"/>
      <c r="BR23" s="154"/>
      <c r="BS23" s="154"/>
      <c r="BT23" s="154"/>
      <c r="BU23" s="154"/>
      <c r="BV23" s="154"/>
      <c r="BW23" s="154"/>
      <c r="BX23" s="155"/>
      <c r="BY23" s="153">
        <f>BY24+BY25+BY26+BY29</f>
        <v>0</v>
      </c>
      <c r="BZ23" s="154"/>
      <c r="CA23" s="154"/>
      <c r="CB23" s="154"/>
      <c r="CC23" s="154"/>
      <c r="CD23" s="154"/>
      <c r="CE23" s="154"/>
      <c r="CF23" s="154"/>
      <c r="CG23" s="155"/>
      <c r="CH23" s="153">
        <f>CH24+CH25+CH26+CH29</f>
        <v>0</v>
      </c>
      <c r="CI23" s="154"/>
      <c r="CJ23" s="154"/>
      <c r="CK23" s="154"/>
      <c r="CL23" s="154"/>
      <c r="CM23" s="154"/>
      <c r="CN23" s="154"/>
      <c r="CO23" s="154"/>
      <c r="CP23" s="155"/>
      <c r="CQ23" s="153">
        <f>CQ24+CQ25+CQ26+CQ29</f>
        <v>1.10400169544138</v>
      </c>
      <c r="CR23" s="154"/>
      <c r="CS23" s="154"/>
      <c r="CT23" s="154"/>
      <c r="CU23" s="154"/>
      <c r="CV23" s="154"/>
      <c r="CW23" s="154"/>
      <c r="CX23" s="154"/>
      <c r="CY23" s="155"/>
      <c r="CZ23" s="153">
        <f>CZ24+CZ25+CZ26+CZ29</f>
        <v>0</v>
      </c>
      <c r="DA23" s="154"/>
      <c r="DB23" s="154"/>
      <c r="DC23" s="154"/>
      <c r="DD23" s="154"/>
      <c r="DE23" s="154"/>
      <c r="DF23" s="154"/>
      <c r="DG23" s="154"/>
      <c r="DH23" s="155"/>
      <c r="DI23" s="153">
        <f>DI24+DI25+DI26+DI29</f>
        <v>3.47488830455862</v>
      </c>
      <c r="DJ23" s="154"/>
      <c r="DK23" s="154"/>
      <c r="DL23" s="154"/>
      <c r="DM23" s="154"/>
      <c r="DN23" s="154"/>
      <c r="DO23" s="154"/>
      <c r="DP23" s="154"/>
      <c r="DQ23" s="155"/>
      <c r="DR23" s="153">
        <f>DR24+DR25+DR26+DR29</f>
        <v>0</v>
      </c>
      <c r="DS23" s="154"/>
      <c r="DT23" s="154"/>
      <c r="DU23" s="154"/>
      <c r="DV23" s="154"/>
      <c r="DW23" s="154"/>
      <c r="DX23" s="154"/>
      <c r="DY23" s="154"/>
      <c r="DZ23" s="155"/>
      <c r="EA23" s="156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8"/>
    </row>
    <row r="24" spans="1:155" ht="29.25" customHeight="1">
      <c r="A24" s="159" t="s">
        <v>152</v>
      </c>
      <c r="B24" s="160"/>
      <c r="C24" s="160"/>
      <c r="D24" s="160"/>
      <c r="E24" s="160"/>
      <c r="F24" s="160"/>
      <c r="G24" s="164" t="s">
        <v>153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6"/>
      <c r="AO24" s="154">
        <f>BG24+BY24+CQ24+DI24</f>
        <v>4.57889</v>
      </c>
      <c r="AP24" s="154"/>
      <c r="AQ24" s="154"/>
      <c r="AR24" s="154"/>
      <c r="AS24" s="154"/>
      <c r="AT24" s="154"/>
      <c r="AU24" s="154"/>
      <c r="AV24" s="154"/>
      <c r="AW24" s="155"/>
      <c r="AX24" s="153">
        <f>BP24+CH24+CZ24+DR24</f>
        <v>0</v>
      </c>
      <c r="AY24" s="154"/>
      <c r="AZ24" s="154"/>
      <c r="BA24" s="154"/>
      <c r="BB24" s="154"/>
      <c r="BC24" s="154"/>
      <c r="BD24" s="154"/>
      <c r="BE24" s="154"/>
      <c r="BF24" s="155"/>
      <c r="BG24" s="153">
        <v>0</v>
      </c>
      <c r="BH24" s="154"/>
      <c r="BI24" s="154"/>
      <c r="BJ24" s="154"/>
      <c r="BK24" s="154"/>
      <c r="BL24" s="154"/>
      <c r="BM24" s="154"/>
      <c r="BN24" s="154"/>
      <c r="BO24" s="155"/>
      <c r="BP24" s="153"/>
      <c r="BQ24" s="154"/>
      <c r="BR24" s="154"/>
      <c r="BS24" s="154"/>
      <c r="BT24" s="154"/>
      <c r="BU24" s="154"/>
      <c r="BV24" s="154"/>
      <c r="BW24" s="154"/>
      <c r="BX24" s="155"/>
      <c r="BY24" s="153"/>
      <c r="BZ24" s="154"/>
      <c r="CA24" s="154"/>
      <c r="CB24" s="154"/>
      <c r="CC24" s="154"/>
      <c r="CD24" s="154"/>
      <c r="CE24" s="154"/>
      <c r="CF24" s="154"/>
      <c r="CG24" s="155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>
        <f>1104.00169544138/1000</f>
        <v>1.10400169544138</v>
      </c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53">
        <f>3474.88830455862/1000</f>
        <v>3.47488830455862</v>
      </c>
      <c r="DJ24" s="154"/>
      <c r="DK24" s="154"/>
      <c r="DL24" s="154"/>
      <c r="DM24" s="154"/>
      <c r="DN24" s="154"/>
      <c r="DO24" s="154"/>
      <c r="DP24" s="154"/>
      <c r="DQ24" s="155"/>
      <c r="DR24" s="175"/>
      <c r="DS24" s="176"/>
      <c r="DT24" s="176"/>
      <c r="DU24" s="176"/>
      <c r="DV24" s="176"/>
      <c r="DW24" s="176"/>
      <c r="DX24" s="176"/>
      <c r="DY24" s="176"/>
      <c r="DZ24" s="177"/>
      <c r="EA24" s="156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8"/>
    </row>
    <row r="25" spans="1:155" ht="27" customHeight="1">
      <c r="A25" s="159" t="s">
        <v>154</v>
      </c>
      <c r="B25" s="160"/>
      <c r="C25" s="160"/>
      <c r="D25" s="160"/>
      <c r="E25" s="160"/>
      <c r="F25" s="160"/>
      <c r="G25" s="164" t="s">
        <v>155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6"/>
      <c r="AO25" s="154">
        <f>BG25+BY25+CQ25+DI25</f>
        <v>0</v>
      </c>
      <c r="AP25" s="154"/>
      <c r="AQ25" s="154"/>
      <c r="AR25" s="154"/>
      <c r="AS25" s="154"/>
      <c r="AT25" s="154"/>
      <c r="AU25" s="154"/>
      <c r="AV25" s="154"/>
      <c r="AW25" s="155"/>
      <c r="AX25" s="153">
        <f>BP25+CH25+CZ25+DR25</f>
        <v>0</v>
      </c>
      <c r="AY25" s="154"/>
      <c r="AZ25" s="154"/>
      <c r="BA25" s="154"/>
      <c r="BB25" s="154"/>
      <c r="BC25" s="154"/>
      <c r="BD25" s="154"/>
      <c r="BE25" s="154"/>
      <c r="BF25" s="155"/>
      <c r="BG25" s="153"/>
      <c r="BH25" s="154"/>
      <c r="BI25" s="154"/>
      <c r="BJ25" s="154"/>
      <c r="BK25" s="154"/>
      <c r="BL25" s="154"/>
      <c r="BM25" s="154"/>
      <c r="BN25" s="154"/>
      <c r="BO25" s="155"/>
      <c r="BP25" s="153"/>
      <c r="BQ25" s="154"/>
      <c r="BR25" s="154"/>
      <c r="BS25" s="154"/>
      <c r="BT25" s="154"/>
      <c r="BU25" s="154"/>
      <c r="BV25" s="154"/>
      <c r="BW25" s="154"/>
      <c r="BX25" s="155"/>
      <c r="BY25" s="153"/>
      <c r="BZ25" s="154"/>
      <c r="CA25" s="154"/>
      <c r="CB25" s="154"/>
      <c r="CC25" s="154"/>
      <c r="CD25" s="154"/>
      <c r="CE25" s="154"/>
      <c r="CF25" s="154"/>
      <c r="CG25" s="155"/>
      <c r="CH25" s="198"/>
      <c r="CI25" s="199"/>
      <c r="CJ25" s="199"/>
      <c r="CK25" s="199"/>
      <c r="CL25" s="199"/>
      <c r="CM25" s="199"/>
      <c r="CN25" s="199"/>
      <c r="CO25" s="199"/>
      <c r="CP25" s="200"/>
      <c r="CQ25" s="198"/>
      <c r="CR25" s="199"/>
      <c r="CS25" s="199"/>
      <c r="CT25" s="199"/>
      <c r="CU25" s="199"/>
      <c r="CV25" s="199"/>
      <c r="CW25" s="199"/>
      <c r="CX25" s="199"/>
      <c r="CY25" s="200"/>
      <c r="CZ25" s="198"/>
      <c r="DA25" s="199"/>
      <c r="DB25" s="199"/>
      <c r="DC25" s="199"/>
      <c r="DD25" s="199"/>
      <c r="DE25" s="199"/>
      <c r="DF25" s="199"/>
      <c r="DG25" s="199"/>
      <c r="DH25" s="200"/>
      <c r="DI25" s="153"/>
      <c r="DJ25" s="154"/>
      <c r="DK25" s="154"/>
      <c r="DL25" s="154"/>
      <c r="DM25" s="154"/>
      <c r="DN25" s="154"/>
      <c r="DO25" s="154"/>
      <c r="DP25" s="154"/>
      <c r="DQ25" s="155"/>
      <c r="DR25" s="197"/>
      <c r="DS25" s="197"/>
      <c r="DT25" s="197"/>
      <c r="DU25" s="197"/>
      <c r="DV25" s="197"/>
      <c r="DW25" s="197"/>
      <c r="DX25" s="197"/>
      <c r="DY25" s="197"/>
      <c r="DZ25" s="197"/>
      <c r="EA25" s="156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8"/>
    </row>
    <row r="26" spans="1:155" ht="28.5" customHeight="1">
      <c r="A26" s="159" t="s">
        <v>156</v>
      </c>
      <c r="B26" s="160"/>
      <c r="C26" s="160"/>
      <c r="D26" s="160"/>
      <c r="E26" s="160"/>
      <c r="F26" s="160"/>
      <c r="G26" s="164" t="s">
        <v>157</v>
      </c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6"/>
      <c r="AO26" s="154">
        <f>AO27+AO28</f>
        <v>0</v>
      </c>
      <c r="AP26" s="154"/>
      <c r="AQ26" s="154"/>
      <c r="AR26" s="154"/>
      <c r="AS26" s="154"/>
      <c r="AT26" s="154"/>
      <c r="AU26" s="154"/>
      <c r="AV26" s="154"/>
      <c r="AW26" s="155"/>
      <c r="AX26" s="153">
        <f>AX27+AX28</f>
        <v>0</v>
      </c>
      <c r="AY26" s="154"/>
      <c r="AZ26" s="154"/>
      <c r="BA26" s="154"/>
      <c r="BB26" s="154"/>
      <c r="BC26" s="154"/>
      <c r="BD26" s="154"/>
      <c r="BE26" s="154"/>
      <c r="BF26" s="155"/>
      <c r="BG26" s="153">
        <f>BG27+BG28</f>
        <v>0</v>
      </c>
      <c r="BH26" s="154"/>
      <c r="BI26" s="154"/>
      <c r="BJ26" s="154"/>
      <c r="BK26" s="154"/>
      <c r="BL26" s="154"/>
      <c r="BM26" s="154"/>
      <c r="BN26" s="154"/>
      <c r="BO26" s="155"/>
      <c r="BP26" s="153">
        <f>BP27+BP28</f>
        <v>0</v>
      </c>
      <c r="BQ26" s="154"/>
      <c r="BR26" s="154"/>
      <c r="BS26" s="154"/>
      <c r="BT26" s="154"/>
      <c r="BU26" s="154"/>
      <c r="BV26" s="154"/>
      <c r="BW26" s="154"/>
      <c r="BX26" s="155"/>
      <c r="BY26" s="153">
        <f>BY27+BY28</f>
        <v>0</v>
      </c>
      <c r="BZ26" s="154"/>
      <c r="CA26" s="154"/>
      <c r="CB26" s="154"/>
      <c r="CC26" s="154"/>
      <c r="CD26" s="154"/>
      <c r="CE26" s="154"/>
      <c r="CF26" s="154"/>
      <c r="CG26" s="155"/>
      <c r="CH26" s="153">
        <f>CH27+CH28</f>
        <v>0</v>
      </c>
      <c r="CI26" s="154"/>
      <c r="CJ26" s="154"/>
      <c r="CK26" s="154"/>
      <c r="CL26" s="154"/>
      <c r="CM26" s="154"/>
      <c r="CN26" s="154"/>
      <c r="CO26" s="154"/>
      <c r="CP26" s="155"/>
      <c r="CQ26" s="153">
        <f>CQ27+CQ28</f>
        <v>0</v>
      </c>
      <c r="CR26" s="154"/>
      <c r="CS26" s="154"/>
      <c r="CT26" s="154"/>
      <c r="CU26" s="154"/>
      <c r="CV26" s="154"/>
      <c r="CW26" s="154"/>
      <c r="CX26" s="154"/>
      <c r="CY26" s="155"/>
      <c r="CZ26" s="153">
        <f>CZ27+CZ28</f>
        <v>0</v>
      </c>
      <c r="DA26" s="154"/>
      <c r="DB26" s="154"/>
      <c r="DC26" s="154"/>
      <c r="DD26" s="154"/>
      <c r="DE26" s="154"/>
      <c r="DF26" s="154"/>
      <c r="DG26" s="154"/>
      <c r="DH26" s="155"/>
      <c r="DI26" s="153">
        <f>DI27+DI28</f>
        <v>0</v>
      </c>
      <c r="DJ26" s="154"/>
      <c r="DK26" s="154"/>
      <c r="DL26" s="154"/>
      <c r="DM26" s="154"/>
      <c r="DN26" s="154"/>
      <c r="DO26" s="154"/>
      <c r="DP26" s="154"/>
      <c r="DQ26" s="155"/>
      <c r="DR26" s="153">
        <f>DR27+DR28</f>
        <v>0</v>
      </c>
      <c r="DS26" s="154"/>
      <c r="DT26" s="154"/>
      <c r="DU26" s="154"/>
      <c r="DV26" s="154"/>
      <c r="DW26" s="154"/>
      <c r="DX26" s="154"/>
      <c r="DY26" s="154"/>
      <c r="DZ26" s="155"/>
      <c r="EA26" s="156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8"/>
    </row>
    <row r="27" spans="1:155" ht="30.75" customHeight="1">
      <c r="A27" s="159" t="s">
        <v>158</v>
      </c>
      <c r="B27" s="160"/>
      <c r="C27" s="160"/>
      <c r="D27" s="160"/>
      <c r="E27" s="160"/>
      <c r="F27" s="160"/>
      <c r="G27" s="164" t="s">
        <v>159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6"/>
      <c r="AO27" s="154">
        <f>BG27+BY27+CQ27+DI27</f>
        <v>0</v>
      </c>
      <c r="AP27" s="154"/>
      <c r="AQ27" s="154"/>
      <c r="AR27" s="154"/>
      <c r="AS27" s="154"/>
      <c r="AT27" s="154"/>
      <c r="AU27" s="154"/>
      <c r="AV27" s="154"/>
      <c r="AW27" s="155"/>
      <c r="AX27" s="153">
        <f>BP27+CH27+CZ27+DR27</f>
        <v>0</v>
      </c>
      <c r="AY27" s="154"/>
      <c r="AZ27" s="154"/>
      <c r="BA27" s="154"/>
      <c r="BB27" s="154"/>
      <c r="BC27" s="154"/>
      <c r="BD27" s="154"/>
      <c r="BE27" s="154"/>
      <c r="BF27" s="155"/>
      <c r="BG27" s="153"/>
      <c r="BH27" s="154"/>
      <c r="BI27" s="154"/>
      <c r="BJ27" s="154"/>
      <c r="BK27" s="154"/>
      <c r="BL27" s="154"/>
      <c r="BM27" s="154"/>
      <c r="BN27" s="154"/>
      <c r="BO27" s="155"/>
      <c r="BP27" s="153"/>
      <c r="BQ27" s="154"/>
      <c r="BR27" s="154"/>
      <c r="BS27" s="154"/>
      <c r="BT27" s="154"/>
      <c r="BU27" s="154"/>
      <c r="BV27" s="154"/>
      <c r="BW27" s="154"/>
      <c r="BX27" s="155"/>
      <c r="BY27" s="153"/>
      <c r="BZ27" s="154"/>
      <c r="CA27" s="154"/>
      <c r="CB27" s="154"/>
      <c r="CC27" s="154"/>
      <c r="CD27" s="154"/>
      <c r="CE27" s="154"/>
      <c r="CF27" s="154"/>
      <c r="CG27" s="155"/>
      <c r="CH27" s="153"/>
      <c r="CI27" s="154"/>
      <c r="CJ27" s="154"/>
      <c r="CK27" s="154"/>
      <c r="CL27" s="154"/>
      <c r="CM27" s="154"/>
      <c r="CN27" s="154"/>
      <c r="CO27" s="154"/>
      <c r="CP27" s="155"/>
      <c r="CQ27" s="153"/>
      <c r="CR27" s="154"/>
      <c r="CS27" s="154"/>
      <c r="CT27" s="154"/>
      <c r="CU27" s="154"/>
      <c r="CV27" s="154"/>
      <c r="CW27" s="154"/>
      <c r="CX27" s="154"/>
      <c r="CY27" s="155"/>
      <c r="CZ27" s="153"/>
      <c r="DA27" s="154"/>
      <c r="DB27" s="154"/>
      <c r="DC27" s="154"/>
      <c r="DD27" s="154"/>
      <c r="DE27" s="154"/>
      <c r="DF27" s="154"/>
      <c r="DG27" s="154"/>
      <c r="DH27" s="155"/>
      <c r="DI27" s="153"/>
      <c r="DJ27" s="154"/>
      <c r="DK27" s="154"/>
      <c r="DL27" s="154"/>
      <c r="DM27" s="154"/>
      <c r="DN27" s="154"/>
      <c r="DO27" s="154"/>
      <c r="DP27" s="154"/>
      <c r="DQ27" s="155"/>
      <c r="DR27" s="153"/>
      <c r="DS27" s="154"/>
      <c r="DT27" s="154"/>
      <c r="DU27" s="154"/>
      <c r="DV27" s="154"/>
      <c r="DW27" s="154"/>
      <c r="DX27" s="154"/>
      <c r="DY27" s="154"/>
      <c r="DZ27" s="155"/>
      <c r="EA27" s="156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8"/>
    </row>
    <row r="28" spans="1:155" ht="29.25" customHeight="1">
      <c r="A28" s="159" t="s">
        <v>160</v>
      </c>
      <c r="B28" s="160"/>
      <c r="C28" s="160"/>
      <c r="D28" s="160"/>
      <c r="E28" s="160"/>
      <c r="F28" s="160"/>
      <c r="G28" s="164" t="s">
        <v>161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6"/>
      <c r="AO28" s="154">
        <f>BG28+BY28+CQ28+DI28</f>
        <v>0</v>
      </c>
      <c r="AP28" s="154"/>
      <c r="AQ28" s="154"/>
      <c r="AR28" s="154"/>
      <c r="AS28" s="154"/>
      <c r="AT28" s="154"/>
      <c r="AU28" s="154"/>
      <c r="AV28" s="154"/>
      <c r="AW28" s="155"/>
      <c r="AX28" s="153">
        <f>BP28+CH28+CZ28+DR28</f>
        <v>0</v>
      </c>
      <c r="AY28" s="154"/>
      <c r="AZ28" s="154"/>
      <c r="BA28" s="154"/>
      <c r="BB28" s="154"/>
      <c r="BC28" s="154"/>
      <c r="BD28" s="154"/>
      <c r="BE28" s="154"/>
      <c r="BF28" s="155"/>
      <c r="BG28" s="153"/>
      <c r="BH28" s="154"/>
      <c r="BI28" s="154"/>
      <c r="BJ28" s="154"/>
      <c r="BK28" s="154"/>
      <c r="BL28" s="154"/>
      <c r="BM28" s="154"/>
      <c r="BN28" s="154"/>
      <c r="BO28" s="155"/>
      <c r="BP28" s="153"/>
      <c r="BQ28" s="154"/>
      <c r="BR28" s="154"/>
      <c r="BS28" s="154"/>
      <c r="BT28" s="154"/>
      <c r="BU28" s="154"/>
      <c r="BV28" s="154"/>
      <c r="BW28" s="154"/>
      <c r="BX28" s="155"/>
      <c r="BY28" s="153"/>
      <c r="BZ28" s="154"/>
      <c r="CA28" s="154"/>
      <c r="CB28" s="154"/>
      <c r="CC28" s="154"/>
      <c r="CD28" s="154"/>
      <c r="CE28" s="154"/>
      <c r="CF28" s="154"/>
      <c r="CG28" s="155"/>
      <c r="CH28" s="153"/>
      <c r="CI28" s="154"/>
      <c r="CJ28" s="154"/>
      <c r="CK28" s="154"/>
      <c r="CL28" s="154"/>
      <c r="CM28" s="154"/>
      <c r="CN28" s="154"/>
      <c r="CO28" s="154"/>
      <c r="CP28" s="155"/>
      <c r="CQ28" s="153"/>
      <c r="CR28" s="154"/>
      <c r="CS28" s="154"/>
      <c r="CT28" s="154"/>
      <c r="CU28" s="154"/>
      <c r="CV28" s="154"/>
      <c r="CW28" s="154"/>
      <c r="CX28" s="154"/>
      <c r="CY28" s="155"/>
      <c r="CZ28" s="153"/>
      <c r="DA28" s="154"/>
      <c r="DB28" s="154"/>
      <c r="DC28" s="154"/>
      <c r="DD28" s="154"/>
      <c r="DE28" s="154"/>
      <c r="DF28" s="154"/>
      <c r="DG28" s="154"/>
      <c r="DH28" s="155"/>
      <c r="DI28" s="153"/>
      <c r="DJ28" s="154"/>
      <c r="DK28" s="154"/>
      <c r="DL28" s="154"/>
      <c r="DM28" s="154"/>
      <c r="DN28" s="154"/>
      <c r="DO28" s="154"/>
      <c r="DP28" s="154"/>
      <c r="DQ28" s="155"/>
      <c r="DR28" s="153"/>
      <c r="DS28" s="154"/>
      <c r="DT28" s="154"/>
      <c r="DU28" s="154"/>
      <c r="DV28" s="154"/>
      <c r="DW28" s="154"/>
      <c r="DX28" s="154"/>
      <c r="DY28" s="154"/>
      <c r="DZ28" s="155"/>
      <c r="EA28" s="156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8"/>
    </row>
    <row r="29" spans="1:155" ht="24.75" customHeight="1">
      <c r="A29" s="159" t="s">
        <v>162</v>
      </c>
      <c r="B29" s="160"/>
      <c r="C29" s="160"/>
      <c r="D29" s="160"/>
      <c r="E29" s="160"/>
      <c r="F29" s="160"/>
      <c r="G29" s="164" t="s">
        <v>163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6"/>
      <c r="AO29" s="154">
        <f>BG29+BY29+CQ29+DI29</f>
        <v>0</v>
      </c>
      <c r="AP29" s="154"/>
      <c r="AQ29" s="154"/>
      <c r="AR29" s="154"/>
      <c r="AS29" s="154"/>
      <c r="AT29" s="154"/>
      <c r="AU29" s="154"/>
      <c r="AV29" s="154"/>
      <c r="AW29" s="155"/>
      <c r="AX29" s="153">
        <f>BP29+CH29+CZ29+DR29</f>
        <v>0</v>
      </c>
      <c r="AY29" s="154"/>
      <c r="AZ29" s="154"/>
      <c r="BA29" s="154"/>
      <c r="BB29" s="154"/>
      <c r="BC29" s="154"/>
      <c r="BD29" s="154"/>
      <c r="BE29" s="154"/>
      <c r="BF29" s="155"/>
      <c r="BG29" s="153"/>
      <c r="BH29" s="154"/>
      <c r="BI29" s="154"/>
      <c r="BJ29" s="154"/>
      <c r="BK29" s="154"/>
      <c r="BL29" s="154"/>
      <c r="BM29" s="154"/>
      <c r="BN29" s="154"/>
      <c r="BO29" s="155"/>
      <c r="BP29" s="153"/>
      <c r="BQ29" s="154"/>
      <c r="BR29" s="154"/>
      <c r="BS29" s="154"/>
      <c r="BT29" s="154"/>
      <c r="BU29" s="154"/>
      <c r="BV29" s="154"/>
      <c r="BW29" s="154"/>
      <c r="BX29" s="155"/>
      <c r="BY29" s="153"/>
      <c r="BZ29" s="154"/>
      <c r="CA29" s="154"/>
      <c r="CB29" s="154"/>
      <c r="CC29" s="154"/>
      <c r="CD29" s="154"/>
      <c r="CE29" s="154"/>
      <c r="CF29" s="154"/>
      <c r="CG29" s="155"/>
      <c r="CH29" s="153"/>
      <c r="CI29" s="154"/>
      <c r="CJ29" s="154"/>
      <c r="CK29" s="154"/>
      <c r="CL29" s="154"/>
      <c r="CM29" s="154"/>
      <c r="CN29" s="154"/>
      <c r="CO29" s="154"/>
      <c r="CP29" s="155"/>
      <c r="CQ29" s="153"/>
      <c r="CR29" s="154"/>
      <c r="CS29" s="154"/>
      <c r="CT29" s="154"/>
      <c r="CU29" s="154"/>
      <c r="CV29" s="154"/>
      <c r="CW29" s="154"/>
      <c r="CX29" s="154"/>
      <c r="CY29" s="155"/>
      <c r="CZ29" s="153"/>
      <c r="DA29" s="154"/>
      <c r="DB29" s="154"/>
      <c r="DC29" s="154"/>
      <c r="DD29" s="154"/>
      <c r="DE29" s="154"/>
      <c r="DF29" s="154"/>
      <c r="DG29" s="154"/>
      <c r="DH29" s="155"/>
      <c r="DI29" s="153"/>
      <c r="DJ29" s="154"/>
      <c r="DK29" s="154"/>
      <c r="DL29" s="154"/>
      <c r="DM29" s="154"/>
      <c r="DN29" s="154"/>
      <c r="DO29" s="154"/>
      <c r="DP29" s="154"/>
      <c r="DQ29" s="155"/>
      <c r="DR29" s="153"/>
      <c r="DS29" s="154"/>
      <c r="DT29" s="154"/>
      <c r="DU29" s="154"/>
      <c r="DV29" s="154"/>
      <c r="DW29" s="154"/>
      <c r="DX29" s="154"/>
      <c r="DY29" s="154"/>
      <c r="DZ29" s="155"/>
      <c r="EA29" s="156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8"/>
    </row>
    <row r="30" spans="1:155" ht="23.25" customHeight="1">
      <c r="A30" s="159" t="s">
        <v>164</v>
      </c>
      <c r="B30" s="160"/>
      <c r="C30" s="160"/>
      <c r="D30" s="160"/>
      <c r="E30" s="160"/>
      <c r="F30" s="160"/>
      <c r="G30" s="164" t="s">
        <v>165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6"/>
      <c r="AO30" s="154">
        <f>AO31+AO32+AO33</f>
        <v>12.30922</v>
      </c>
      <c r="AP30" s="154"/>
      <c r="AQ30" s="154"/>
      <c r="AR30" s="154"/>
      <c r="AS30" s="154"/>
      <c r="AT30" s="154"/>
      <c r="AU30" s="154"/>
      <c r="AV30" s="154"/>
      <c r="AW30" s="155"/>
      <c r="AX30" s="153">
        <f>AX31+AX32+AX33</f>
        <v>1.438738</v>
      </c>
      <c r="AY30" s="154"/>
      <c r="AZ30" s="154"/>
      <c r="BA30" s="154"/>
      <c r="BB30" s="154"/>
      <c r="BC30" s="154"/>
      <c r="BD30" s="154"/>
      <c r="BE30" s="154"/>
      <c r="BF30" s="155"/>
      <c r="BG30" s="153">
        <f>BG31+BG32+BG33</f>
        <v>1.438738</v>
      </c>
      <c r="BH30" s="154"/>
      <c r="BI30" s="154"/>
      <c r="BJ30" s="154"/>
      <c r="BK30" s="154"/>
      <c r="BL30" s="154"/>
      <c r="BM30" s="154"/>
      <c r="BN30" s="154"/>
      <c r="BO30" s="155"/>
      <c r="BP30" s="153">
        <f>BP31+BP32+BP33</f>
        <v>1.438738</v>
      </c>
      <c r="BQ30" s="154"/>
      <c r="BR30" s="154"/>
      <c r="BS30" s="154"/>
      <c r="BT30" s="154"/>
      <c r="BU30" s="154"/>
      <c r="BV30" s="154"/>
      <c r="BW30" s="154"/>
      <c r="BX30" s="155"/>
      <c r="BY30" s="153">
        <f>BY31+BY32+BY33</f>
        <v>1.357034928</v>
      </c>
      <c r="BZ30" s="154"/>
      <c r="CA30" s="154"/>
      <c r="CB30" s="154"/>
      <c r="CC30" s="154"/>
      <c r="CD30" s="154"/>
      <c r="CE30" s="154"/>
      <c r="CF30" s="154"/>
      <c r="CG30" s="155"/>
      <c r="CH30" s="153">
        <f>CH31+CH32+CH33</f>
        <v>0</v>
      </c>
      <c r="CI30" s="154"/>
      <c r="CJ30" s="154"/>
      <c r="CK30" s="154"/>
      <c r="CL30" s="154"/>
      <c r="CM30" s="154"/>
      <c r="CN30" s="154"/>
      <c r="CO30" s="154"/>
      <c r="CP30" s="155"/>
      <c r="CQ30" s="153">
        <f>CQ31+CQ32+CQ33</f>
        <v>1.5290991285532</v>
      </c>
      <c r="CR30" s="154"/>
      <c r="CS30" s="154"/>
      <c r="CT30" s="154"/>
      <c r="CU30" s="154"/>
      <c r="CV30" s="154"/>
      <c r="CW30" s="154"/>
      <c r="CX30" s="154"/>
      <c r="CY30" s="155"/>
      <c r="CZ30" s="153">
        <f>CZ31+CZ32+CZ33</f>
        <v>0</v>
      </c>
      <c r="DA30" s="154"/>
      <c r="DB30" s="154"/>
      <c r="DC30" s="154"/>
      <c r="DD30" s="154"/>
      <c r="DE30" s="154"/>
      <c r="DF30" s="154"/>
      <c r="DG30" s="154"/>
      <c r="DH30" s="155"/>
      <c r="DI30" s="153">
        <f>DI31+DI32+DI33</f>
        <v>7.9843479434468</v>
      </c>
      <c r="DJ30" s="154"/>
      <c r="DK30" s="154"/>
      <c r="DL30" s="154"/>
      <c r="DM30" s="154"/>
      <c r="DN30" s="154"/>
      <c r="DO30" s="154"/>
      <c r="DP30" s="154"/>
      <c r="DQ30" s="155"/>
      <c r="DR30" s="153">
        <f>DR31+DR32+DR33</f>
        <v>0</v>
      </c>
      <c r="DS30" s="154"/>
      <c r="DT30" s="154"/>
      <c r="DU30" s="154"/>
      <c r="DV30" s="154"/>
      <c r="DW30" s="154"/>
      <c r="DX30" s="154"/>
      <c r="DY30" s="154"/>
      <c r="DZ30" s="155"/>
      <c r="EA30" s="156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8"/>
    </row>
    <row r="31" spans="1:155" ht="22.5" customHeight="1">
      <c r="A31" s="159" t="s">
        <v>166</v>
      </c>
      <c r="B31" s="160"/>
      <c r="C31" s="160"/>
      <c r="D31" s="160"/>
      <c r="E31" s="160"/>
      <c r="F31" s="160"/>
      <c r="G31" s="164" t="s">
        <v>167</v>
      </c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6"/>
      <c r="AO31" s="154">
        <f>BG31+BY31+CQ31+DI31</f>
        <v>12.30922</v>
      </c>
      <c r="AP31" s="154"/>
      <c r="AQ31" s="154"/>
      <c r="AR31" s="154"/>
      <c r="AS31" s="154"/>
      <c r="AT31" s="154"/>
      <c r="AU31" s="154"/>
      <c r="AV31" s="154"/>
      <c r="AW31" s="155"/>
      <c r="AX31" s="153">
        <f>BP31+CH31+CZ31+DR31</f>
        <v>1.438738</v>
      </c>
      <c r="AY31" s="154"/>
      <c r="AZ31" s="154"/>
      <c r="BA31" s="154"/>
      <c r="BB31" s="154"/>
      <c r="BC31" s="154"/>
      <c r="BD31" s="154"/>
      <c r="BE31" s="154"/>
      <c r="BF31" s="155"/>
      <c r="BG31" s="194">
        <f>1438.738/1000</f>
        <v>1.438738</v>
      </c>
      <c r="BH31" s="195"/>
      <c r="BI31" s="195"/>
      <c r="BJ31" s="195"/>
      <c r="BK31" s="195"/>
      <c r="BL31" s="195"/>
      <c r="BM31" s="195"/>
      <c r="BN31" s="195"/>
      <c r="BO31" s="196"/>
      <c r="BP31" s="194">
        <f>1438.738/1000</f>
        <v>1.438738</v>
      </c>
      <c r="BQ31" s="195"/>
      <c r="BR31" s="195"/>
      <c r="BS31" s="195"/>
      <c r="BT31" s="195"/>
      <c r="BU31" s="195"/>
      <c r="BV31" s="195"/>
      <c r="BW31" s="195"/>
      <c r="BX31" s="196"/>
      <c r="BY31" s="194">
        <f>1357.034928/1000</f>
        <v>1.357034928</v>
      </c>
      <c r="BZ31" s="195"/>
      <c r="CA31" s="195"/>
      <c r="CB31" s="195"/>
      <c r="CC31" s="195"/>
      <c r="CD31" s="195"/>
      <c r="CE31" s="195"/>
      <c r="CF31" s="195"/>
      <c r="CG31" s="196"/>
      <c r="CH31" s="194"/>
      <c r="CI31" s="195"/>
      <c r="CJ31" s="195"/>
      <c r="CK31" s="195"/>
      <c r="CL31" s="195"/>
      <c r="CM31" s="195"/>
      <c r="CN31" s="195"/>
      <c r="CO31" s="195"/>
      <c r="CP31" s="196"/>
      <c r="CQ31" s="194">
        <f>1529.0991285532/1000</f>
        <v>1.5290991285532</v>
      </c>
      <c r="CR31" s="195"/>
      <c r="CS31" s="195"/>
      <c r="CT31" s="195"/>
      <c r="CU31" s="195"/>
      <c r="CV31" s="195"/>
      <c r="CW31" s="195"/>
      <c r="CX31" s="195"/>
      <c r="CY31" s="196"/>
      <c r="CZ31" s="194"/>
      <c r="DA31" s="195"/>
      <c r="DB31" s="195"/>
      <c r="DC31" s="195"/>
      <c r="DD31" s="195"/>
      <c r="DE31" s="195"/>
      <c r="DF31" s="195"/>
      <c r="DG31" s="195"/>
      <c r="DH31" s="196"/>
      <c r="DI31" s="153">
        <f>7984.3479434468/1000</f>
        <v>7.9843479434468</v>
      </c>
      <c r="DJ31" s="154"/>
      <c r="DK31" s="154"/>
      <c r="DL31" s="154"/>
      <c r="DM31" s="154"/>
      <c r="DN31" s="154"/>
      <c r="DO31" s="154"/>
      <c r="DP31" s="154"/>
      <c r="DQ31" s="155"/>
      <c r="DR31" s="153"/>
      <c r="DS31" s="154"/>
      <c r="DT31" s="154"/>
      <c r="DU31" s="154"/>
      <c r="DV31" s="154"/>
      <c r="DW31" s="154"/>
      <c r="DX31" s="154"/>
      <c r="DY31" s="154"/>
      <c r="DZ31" s="155"/>
      <c r="EA31" s="156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8"/>
    </row>
    <row r="32" spans="1:155" ht="18" customHeight="1">
      <c r="A32" s="159" t="s">
        <v>168</v>
      </c>
      <c r="B32" s="160"/>
      <c r="C32" s="160"/>
      <c r="D32" s="160"/>
      <c r="E32" s="160"/>
      <c r="F32" s="160"/>
      <c r="G32" s="164" t="s">
        <v>169</v>
      </c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6"/>
      <c r="AO32" s="154">
        <f>BG32+BY32+CQ32+DI32</f>
        <v>0</v>
      </c>
      <c r="AP32" s="154"/>
      <c r="AQ32" s="154"/>
      <c r="AR32" s="154"/>
      <c r="AS32" s="154"/>
      <c r="AT32" s="154"/>
      <c r="AU32" s="154"/>
      <c r="AV32" s="154"/>
      <c r="AW32" s="155"/>
      <c r="AX32" s="153">
        <f>BP32+CH32+CZ32+DR32</f>
        <v>0</v>
      </c>
      <c r="AY32" s="154"/>
      <c r="AZ32" s="154"/>
      <c r="BA32" s="154"/>
      <c r="BB32" s="154"/>
      <c r="BC32" s="154"/>
      <c r="BD32" s="154"/>
      <c r="BE32" s="154"/>
      <c r="BF32" s="155"/>
      <c r="BG32" s="153"/>
      <c r="BH32" s="154"/>
      <c r="BI32" s="154"/>
      <c r="BJ32" s="154"/>
      <c r="BK32" s="154"/>
      <c r="BL32" s="154"/>
      <c r="BM32" s="154"/>
      <c r="BN32" s="154"/>
      <c r="BO32" s="155"/>
      <c r="BP32" s="153"/>
      <c r="BQ32" s="154"/>
      <c r="BR32" s="154"/>
      <c r="BS32" s="154"/>
      <c r="BT32" s="154"/>
      <c r="BU32" s="154"/>
      <c r="BV32" s="154"/>
      <c r="BW32" s="154"/>
      <c r="BX32" s="155"/>
      <c r="BY32" s="153"/>
      <c r="BZ32" s="154"/>
      <c r="CA32" s="154"/>
      <c r="CB32" s="154"/>
      <c r="CC32" s="154"/>
      <c r="CD32" s="154"/>
      <c r="CE32" s="154"/>
      <c r="CF32" s="154"/>
      <c r="CG32" s="155"/>
      <c r="CH32" s="153"/>
      <c r="CI32" s="154"/>
      <c r="CJ32" s="154"/>
      <c r="CK32" s="154"/>
      <c r="CL32" s="154"/>
      <c r="CM32" s="154"/>
      <c r="CN32" s="154"/>
      <c r="CO32" s="154"/>
      <c r="CP32" s="155"/>
      <c r="CQ32" s="153"/>
      <c r="CR32" s="154"/>
      <c r="CS32" s="154"/>
      <c r="CT32" s="154"/>
      <c r="CU32" s="154"/>
      <c r="CV32" s="154"/>
      <c r="CW32" s="154"/>
      <c r="CX32" s="154"/>
      <c r="CY32" s="155"/>
      <c r="CZ32" s="153"/>
      <c r="DA32" s="154"/>
      <c r="DB32" s="154"/>
      <c r="DC32" s="154"/>
      <c r="DD32" s="154"/>
      <c r="DE32" s="154"/>
      <c r="DF32" s="154"/>
      <c r="DG32" s="154"/>
      <c r="DH32" s="155"/>
      <c r="DI32" s="153"/>
      <c r="DJ32" s="154"/>
      <c r="DK32" s="154"/>
      <c r="DL32" s="154"/>
      <c r="DM32" s="154"/>
      <c r="DN32" s="154"/>
      <c r="DO32" s="154"/>
      <c r="DP32" s="154"/>
      <c r="DQ32" s="155"/>
      <c r="DR32" s="153"/>
      <c r="DS32" s="154"/>
      <c r="DT32" s="154"/>
      <c r="DU32" s="154"/>
      <c r="DV32" s="154"/>
      <c r="DW32" s="154"/>
      <c r="DX32" s="154"/>
      <c r="DY32" s="154"/>
      <c r="DZ32" s="155"/>
      <c r="EA32" s="156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8"/>
    </row>
    <row r="33" spans="1:155" ht="27.75" customHeight="1">
      <c r="A33" s="159" t="s">
        <v>170</v>
      </c>
      <c r="B33" s="160"/>
      <c r="C33" s="160"/>
      <c r="D33" s="160"/>
      <c r="E33" s="160"/>
      <c r="F33" s="160"/>
      <c r="G33" s="164" t="s">
        <v>171</v>
      </c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6"/>
      <c r="AO33" s="154">
        <f>BG33+BY33+CQ33+DI33</f>
        <v>0</v>
      </c>
      <c r="AP33" s="154"/>
      <c r="AQ33" s="154"/>
      <c r="AR33" s="154"/>
      <c r="AS33" s="154"/>
      <c r="AT33" s="154"/>
      <c r="AU33" s="154"/>
      <c r="AV33" s="154"/>
      <c r="AW33" s="155"/>
      <c r="AX33" s="153">
        <f>BP33+CH33+CZ33+DR33</f>
        <v>0</v>
      </c>
      <c r="AY33" s="154"/>
      <c r="AZ33" s="154"/>
      <c r="BA33" s="154"/>
      <c r="BB33" s="154"/>
      <c r="BC33" s="154"/>
      <c r="BD33" s="154"/>
      <c r="BE33" s="154"/>
      <c r="BF33" s="155"/>
      <c r="BG33" s="153"/>
      <c r="BH33" s="154"/>
      <c r="BI33" s="154"/>
      <c r="BJ33" s="154"/>
      <c r="BK33" s="154"/>
      <c r="BL33" s="154"/>
      <c r="BM33" s="154"/>
      <c r="BN33" s="154"/>
      <c r="BO33" s="155"/>
      <c r="BP33" s="153"/>
      <c r="BQ33" s="154"/>
      <c r="BR33" s="154"/>
      <c r="BS33" s="154"/>
      <c r="BT33" s="154"/>
      <c r="BU33" s="154"/>
      <c r="BV33" s="154"/>
      <c r="BW33" s="154"/>
      <c r="BX33" s="155"/>
      <c r="BY33" s="153"/>
      <c r="BZ33" s="154"/>
      <c r="CA33" s="154"/>
      <c r="CB33" s="154"/>
      <c r="CC33" s="154"/>
      <c r="CD33" s="154"/>
      <c r="CE33" s="154"/>
      <c r="CF33" s="154"/>
      <c r="CG33" s="155"/>
      <c r="CH33" s="153"/>
      <c r="CI33" s="154"/>
      <c r="CJ33" s="154"/>
      <c r="CK33" s="154"/>
      <c r="CL33" s="154"/>
      <c r="CM33" s="154"/>
      <c r="CN33" s="154"/>
      <c r="CO33" s="154"/>
      <c r="CP33" s="155"/>
      <c r="CQ33" s="153"/>
      <c r="CR33" s="154"/>
      <c r="CS33" s="154"/>
      <c r="CT33" s="154"/>
      <c r="CU33" s="154"/>
      <c r="CV33" s="154"/>
      <c r="CW33" s="154"/>
      <c r="CX33" s="154"/>
      <c r="CY33" s="155"/>
      <c r="CZ33" s="153"/>
      <c r="DA33" s="154"/>
      <c r="DB33" s="154"/>
      <c r="DC33" s="154"/>
      <c r="DD33" s="154"/>
      <c r="DE33" s="154"/>
      <c r="DF33" s="154"/>
      <c r="DG33" s="154"/>
      <c r="DH33" s="155"/>
      <c r="DI33" s="153"/>
      <c r="DJ33" s="154"/>
      <c r="DK33" s="154"/>
      <c r="DL33" s="154"/>
      <c r="DM33" s="154"/>
      <c r="DN33" s="154"/>
      <c r="DO33" s="154"/>
      <c r="DP33" s="154"/>
      <c r="DQ33" s="155"/>
      <c r="DR33" s="153"/>
      <c r="DS33" s="154"/>
      <c r="DT33" s="154"/>
      <c r="DU33" s="154"/>
      <c r="DV33" s="154"/>
      <c r="DW33" s="154"/>
      <c r="DX33" s="154"/>
      <c r="DY33" s="154"/>
      <c r="DZ33" s="155"/>
      <c r="EA33" s="156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8"/>
    </row>
    <row r="34" spans="1:155" ht="17.25" customHeight="1">
      <c r="A34" s="159" t="s">
        <v>172</v>
      </c>
      <c r="B34" s="160"/>
      <c r="C34" s="160"/>
      <c r="D34" s="160"/>
      <c r="E34" s="160"/>
      <c r="F34" s="160"/>
      <c r="G34" s="164" t="s">
        <v>173</v>
      </c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154">
        <f>BG34+BY34+CQ34+DI34</f>
        <v>0</v>
      </c>
      <c r="AP34" s="154"/>
      <c r="AQ34" s="154"/>
      <c r="AR34" s="154"/>
      <c r="AS34" s="154"/>
      <c r="AT34" s="154"/>
      <c r="AU34" s="154"/>
      <c r="AV34" s="154"/>
      <c r="AW34" s="155"/>
      <c r="AX34" s="153">
        <f>BP34+CH34+CZ34+DR34</f>
        <v>0</v>
      </c>
      <c r="AY34" s="154"/>
      <c r="AZ34" s="154"/>
      <c r="BA34" s="154"/>
      <c r="BB34" s="154"/>
      <c r="BC34" s="154"/>
      <c r="BD34" s="154"/>
      <c r="BE34" s="154"/>
      <c r="BF34" s="155"/>
      <c r="BG34" s="153"/>
      <c r="BH34" s="154"/>
      <c r="BI34" s="154"/>
      <c r="BJ34" s="154"/>
      <c r="BK34" s="154"/>
      <c r="BL34" s="154"/>
      <c r="BM34" s="154"/>
      <c r="BN34" s="154"/>
      <c r="BO34" s="155"/>
      <c r="BP34" s="153"/>
      <c r="BQ34" s="154"/>
      <c r="BR34" s="154"/>
      <c r="BS34" s="154"/>
      <c r="BT34" s="154"/>
      <c r="BU34" s="154"/>
      <c r="BV34" s="154"/>
      <c r="BW34" s="154"/>
      <c r="BX34" s="155"/>
      <c r="BY34" s="153"/>
      <c r="BZ34" s="154"/>
      <c r="CA34" s="154"/>
      <c r="CB34" s="154"/>
      <c r="CC34" s="154"/>
      <c r="CD34" s="154"/>
      <c r="CE34" s="154"/>
      <c r="CF34" s="154"/>
      <c r="CG34" s="155"/>
      <c r="CH34" s="153"/>
      <c r="CI34" s="154"/>
      <c r="CJ34" s="154"/>
      <c r="CK34" s="154"/>
      <c r="CL34" s="154"/>
      <c r="CM34" s="154"/>
      <c r="CN34" s="154"/>
      <c r="CO34" s="154"/>
      <c r="CP34" s="155"/>
      <c r="CQ34" s="153"/>
      <c r="CR34" s="154"/>
      <c r="CS34" s="154"/>
      <c r="CT34" s="154"/>
      <c r="CU34" s="154"/>
      <c r="CV34" s="154"/>
      <c r="CW34" s="154"/>
      <c r="CX34" s="154"/>
      <c r="CY34" s="155"/>
      <c r="CZ34" s="153"/>
      <c r="DA34" s="154"/>
      <c r="DB34" s="154"/>
      <c r="DC34" s="154"/>
      <c r="DD34" s="154"/>
      <c r="DE34" s="154"/>
      <c r="DF34" s="154"/>
      <c r="DG34" s="154"/>
      <c r="DH34" s="155"/>
      <c r="DI34" s="153"/>
      <c r="DJ34" s="154"/>
      <c r="DK34" s="154"/>
      <c r="DL34" s="154"/>
      <c r="DM34" s="154"/>
      <c r="DN34" s="154"/>
      <c r="DO34" s="154"/>
      <c r="DP34" s="154"/>
      <c r="DQ34" s="155"/>
      <c r="DR34" s="153"/>
      <c r="DS34" s="154"/>
      <c r="DT34" s="154"/>
      <c r="DU34" s="154"/>
      <c r="DV34" s="154"/>
      <c r="DW34" s="154"/>
      <c r="DX34" s="154"/>
      <c r="DY34" s="154"/>
      <c r="DZ34" s="155"/>
      <c r="EA34" s="156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8"/>
    </row>
    <row r="35" spans="1:155" ht="18" customHeight="1">
      <c r="A35" s="159" t="s">
        <v>174</v>
      </c>
      <c r="B35" s="160"/>
      <c r="C35" s="160"/>
      <c r="D35" s="160"/>
      <c r="E35" s="160"/>
      <c r="F35" s="160"/>
      <c r="G35" s="164" t="s">
        <v>175</v>
      </c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154">
        <f>AO36</f>
        <v>0</v>
      </c>
      <c r="AP35" s="154"/>
      <c r="AQ35" s="154"/>
      <c r="AR35" s="154"/>
      <c r="AS35" s="154"/>
      <c r="AT35" s="154"/>
      <c r="AU35" s="154"/>
      <c r="AV35" s="154"/>
      <c r="AW35" s="155"/>
      <c r="AX35" s="153">
        <f>AX36</f>
        <v>0</v>
      </c>
      <c r="AY35" s="154"/>
      <c r="AZ35" s="154"/>
      <c r="BA35" s="154"/>
      <c r="BB35" s="154"/>
      <c r="BC35" s="154"/>
      <c r="BD35" s="154"/>
      <c r="BE35" s="154"/>
      <c r="BF35" s="155"/>
      <c r="BG35" s="153">
        <f>BG36</f>
        <v>0</v>
      </c>
      <c r="BH35" s="154"/>
      <c r="BI35" s="154"/>
      <c r="BJ35" s="154"/>
      <c r="BK35" s="154"/>
      <c r="BL35" s="154"/>
      <c r="BM35" s="154"/>
      <c r="BN35" s="154"/>
      <c r="BO35" s="155"/>
      <c r="BP35" s="153">
        <f>BP36</f>
        <v>0</v>
      </c>
      <c r="BQ35" s="154"/>
      <c r="BR35" s="154"/>
      <c r="BS35" s="154"/>
      <c r="BT35" s="154"/>
      <c r="BU35" s="154"/>
      <c r="BV35" s="154"/>
      <c r="BW35" s="154"/>
      <c r="BX35" s="155"/>
      <c r="BY35" s="153">
        <f>BY36</f>
        <v>0</v>
      </c>
      <c r="BZ35" s="154"/>
      <c r="CA35" s="154"/>
      <c r="CB35" s="154"/>
      <c r="CC35" s="154"/>
      <c r="CD35" s="154"/>
      <c r="CE35" s="154"/>
      <c r="CF35" s="154"/>
      <c r="CG35" s="155"/>
      <c r="CH35" s="153">
        <f>CH36</f>
        <v>0</v>
      </c>
      <c r="CI35" s="154"/>
      <c r="CJ35" s="154"/>
      <c r="CK35" s="154"/>
      <c r="CL35" s="154"/>
      <c r="CM35" s="154"/>
      <c r="CN35" s="154"/>
      <c r="CO35" s="154"/>
      <c r="CP35" s="155"/>
      <c r="CQ35" s="153">
        <f>CQ36</f>
        <v>0</v>
      </c>
      <c r="CR35" s="154"/>
      <c r="CS35" s="154"/>
      <c r="CT35" s="154"/>
      <c r="CU35" s="154"/>
      <c r="CV35" s="154"/>
      <c r="CW35" s="154"/>
      <c r="CX35" s="154"/>
      <c r="CY35" s="155"/>
      <c r="CZ35" s="153">
        <f>CZ36</f>
        <v>0</v>
      </c>
      <c r="DA35" s="154"/>
      <c r="DB35" s="154"/>
      <c r="DC35" s="154"/>
      <c r="DD35" s="154"/>
      <c r="DE35" s="154"/>
      <c r="DF35" s="154"/>
      <c r="DG35" s="154"/>
      <c r="DH35" s="155"/>
      <c r="DI35" s="153">
        <f>DI36</f>
        <v>0</v>
      </c>
      <c r="DJ35" s="154"/>
      <c r="DK35" s="154"/>
      <c r="DL35" s="154"/>
      <c r="DM35" s="154"/>
      <c r="DN35" s="154"/>
      <c r="DO35" s="154"/>
      <c r="DP35" s="154"/>
      <c r="DQ35" s="155"/>
      <c r="DR35" s="153">
        <f>DR36</f>
        <v>0</v>
      </c>
      <c r="DS35" s="154"/>
      <c r="DT35" s="154"/>
      <c r="DU35" s="154"/>
      <c r="DV35" s="154"/>
      <c r="DW35" s="154"/>
      <c r="DX35" s="154"/>
      <c r="DY35" s="154"/>
      <c r="DZ35" s="155"/>
      <c r="EA35" s="156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8"/>
    </row>
    <row r="36" spans="1:155" ht="21" customHeight="1">
      <c r="A36" s="159" t="s">
        <v>176</v>
      </c>
      <c r="B36" s="160"/>
      <c r="C36" s="160"/>
      <c r="D36" s="160"/>
      <c r="E36" s="160"/>
      <c r="F36" s="160"/>
      <c r="G36" s="164" t="s">
        <v>177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6"/>
      <c r="AO36" s="154">
        <f>BG36+BY36+CQ36+DI36</f>
        <v>0</v>
      </c>
      <c r="AP36" s="154"/>
      <c r="AQ36" s="154"/>
      <c r="AR36" s="154"/>
      <c r="AS36" s="154"/>
      <c r="AT36" s="154"/>
      <c r="AU36" s="154"/>
      <c r="AV36" s="154"/>
      <c r="AW36" s="155"/>
      <c r="AX36" s="153">
        <f>BP36+CH36+CZ36+DR36</f>
        <v>0</v>
      </c>
      <c r="AY36" s="154"/>
      <c r="AZ36" s="154"/>
      <c r="BA36" s="154"/>
      <c r="BB36" s="154"/>
      <c r="BC36" s="154"/>
      <c r="BD36" s="154"/>
      <c r="BE36" s="154"/>
      <c r="BF36" s="155"/>
      <c r="BG36" s="153"/>
      <c r="BH36" s="154"/>
      <c r="BI36" s="154"/>
      <c r="BJ36" s="154"/>
      <c r="BK36" s="154"/>
      <c r="BL36" s="154"/>
      <c r="BM36" s="154"/>
      <c r="BN36" s="154"/>
      <c r="BO36" s="155"/>
      <c r="BP36" s="153"/>
      <c r="BQ36" s="154"/>
      <c r="BR36" s="154"/>
      <c r="BS36" s="154"/>
      <c r="BT36" s="154"/>
      <c r="BU36" s="154"/>
      <c r="BV36" s="154"/>
      <c r="BW36" s="154"/>
      <c r="BX36" s="155"/>
      <c r="BY36" s="153"/>
      <c r="BZ36" s="154"/>
      <c r="CA36" s="154"/>
      <c r="CB36" s="154"/>
      <c r="CC36" s="154"/>
      <c r="CD36" s="154"/>
      <c r="CE36" s="154"/>
      <c r="CF36" s="154"/>
      <c r="CG36" s="155"/>
      <c r="CH36" s="153"/>
      <c r="CI36" s="154"/>
      <c r="CJ36" s="154"/>
      <c r="CK36" s="154"/>
      <c r="CL36" s="154"/>
      <c r="CM36" s="154"/>
      <c r="CN36" s="154"/>
      <c r="CO36" s="154"/>
      <c r="CP36" s="155"/>
      <c r="CQ36" s="153"/>
      <c r="CR36" s="154"/>
      <c r="CS36" s="154"/>
      <c r="CT36" s="154"/>
      <c r="CU36" s="154"/>
      <c r="CV36" s="154"/>
      <c r="CW36" s="154"/>
      <c r="CX36" s="154"/>
      <c r="CY36" s="155"/>
      <c r="CZ36" s="153"/>
      <c r="DA36" s="154"/>
      <c r="DB36" s="154"/>
      <c r="DC36" s="154"/>
      <c r="DD36" s="154"/>
      <c r="DE36" s="154"/>
      <c r="DF36" s="154"/>
      <c r="DG36" s="154"/>
      <c r="DH36" s="155"/>
      <c r="DI36" s="153"/>
      <c r="DJ36" s="154"/>
      <c r="DK36" s="154"/>
      <c r="DL36" s="154"/>
      <c r="DM36" s="154"/>
      <c r="DN36" s="154"/>
      <c r="DO36" s="154"/>
      <c r="DP36" s="154"/>
      <c r="DQ36" s="155"/>
      <c r="DR36" s="153"/>
      <c r="DS36" s="154"/>
      <c r="DT36" s="154"/>
      <c r="DU36" s="154"/>
      <c r="DV36" s="154"/>
      <c r="DW36" s="154"/>
      <c r="DX36" s="154"/>
      <c r="DY36" s="154"/>
      <c r="DZ36" s="155"/>
      <c r="EA36" s="156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8"/>
    </row>
    <row r="37" spans="1:155" ht="27" customHeight="1" thickBot="1">
      <c r="A37" s="178" t="s">
        <v>178</v>
      </c>
      <c r="B37" s="179"/>
      <c r="C37" s="179"/>
      <c r="D37" s="179"/>
      <c r="E37" s="179"/>
      <c r="F37" s="179"/>
      <c r="G37" s="180" t="s">
        <v>179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2"/>
      <c r="AO37" s="154">
        <f>BG37+BY37+CQ37+DI37</f>
        <v>0</v>
      </c>
      <c r="AP37" s="154"/>
      <c r="AQ37" s="154"/>
      <c r="AR37" s="154"/>
      <c r="AS37" s="154"/>
      <c r="AT37" s="154"/>
      <c r="AU37" s="154"/>
      <c r="AV37" s="154"/>
      <c r="AW37" s="155"/>
      <c r="AX37" s="153">
        <f>BP37+CH37+CZ37+DR37</f>
        <v>0</v>
      </c>
      <c r="AY37" s="154"/>
      <c r="AZ37" s="154"/>
      <c r="BA37" s="154"/>
      <c r="BB37" s="154"/>
      <c r="BC37" s="154"/>
      <c r="BD37" s="154"/>
      <c r="BE37" s="154"/>
      <c r="BF37" s="155"/>
      <c r="BG37" s="175"/>
      <c r="BH37" s="176"/>
      <c r="BI37" s="176"/>
      <c r="BJ37" s="176"/>
      <c r="BK37" s="176"/>
      <c r="BL37" s="176"/>
      <c r="BM37" s="176"/>
      <c r="BN37" s="176"/>
      <c r="BO37" s="177"/>
      <c r="BP37" s="175"/>
      <c r="BQ37" s="176"/>
      <c r="BR37" s="176"/>
      <c r="BS37" s="176"/>
      <c r="BT37" s="176"/>
      <c r="BU37" s="176"/>
      <c r="BV37" s="176"/>
      <c r="BW37" s="176"/>
      <c r="BX37" s="177"/>
      <c r="BY37" s="175"/>
      <c r="BZ37" s="176"/>
      <c r="CA37" s="176"/>
      <c r="CB37" s="176"/>
      <c r="CC37" s="176"/>
      <c r="CD37" s="176"/>
      <c r="CE37" s="176"/>
      <c r="CF37" s="176"/>
      <c r="CG37" s="177"/>
      <c r="CH37" s="175"/>
      <c r="CI37" s="176"/>
      <c r="CJ37" s="176"/>
      <c r="CK37" s="176"/>
      <c r="CL37" s="176"/>
      <c r="CM37" s="176"/>
      <c r="CN37" s="176"/>
      <c r="CO37" s="176"/>
      <c r="CP37" s="177"/>
      <c r="CQ37" s="175"/>
      <c r="CR37" s="176"/>
      <c r="CS37" s="176"/>
      <c r="CT37" s="176"/>
      <c r="CU37" s="176"/>
      <c r="CV37" s="176"/>
      <c r="CW37" s="176"/>
      <c r="CX37" s="176"/>
      <c r="CY37" s="177"/>
      <c r="CZ37" s="175"/>
      <c r="DA37" s="176"/>
      <c r="DB37" s="176"/>
      <c r="DC37" s="176"/>
      <c r="DD37" s="176"/>
      <c r="DE37" s="176"/>
      <c r="DF37" s="176"/>
      <c r="DG37" s="176"/>
      <c r="DH37" s="177"/>
      <c r="DI37" s="175"/>
      <c r="DJ37" s="176"/>
      <c r="DK37" s="176"/>
      <c r="DL37" s="176"/>
      <c r="DM37" s="176"/>
      <c r="DN37" s="176"/>
      <c r="DO37" s="176"/>
      <c r="DP37" s="176"/>
      <c r="DQ37" s="177"/>
      <c r="DR37" s="175"/>
      <c r="DS37" s="176"/>
      <c r="DT37" s="176"/>
      <c r="DU37" s="176"/>
      <c r="DV37" s="176"/>
      <c r="DW37" s="176"/>
      <c r="DX37" s="176"/>
      <c r="DY37" s="176"/>
      <c r="DZ37" s="177"/>
      <c r="EA37" s="167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9"/>
    </row>
    <row r="38" spans="1:155" ht="15" customHeight="1">
      <c r="A38" s="189" t="s">
        <v>89</v>
      </c>
      <c r="B38" s="190"/>
      <c r="C38" s="190"/>
      <c r="D38" s="190"/>
      <c r="E38" s="190"/>
      <c r="F38" s="190"/>
      <c r="G38" s="191" t="s">
        <v>180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3"/>
      <c r="AO38" s="184">
        <f>AO39+AO40+AO41+AO42+AO43+AO44+AO45</f>
        <v>0</v>
      </c>
      <c r="AP38" s="184"/>
      <c r="AQ38" s="184"/>
      <c r="AR38" s="184"/>
      <c r="AS38" s="184"/>
      <c r="AT38" s="184"/>
      <c r="AU38" s="184"/>
      <c r="AV38" s="184"/>
      <c r="AW38" s="185"/>
      <c r="AX38" s="183">
        <f>AX39+AX40+AX41+AX42+AX43+AX44+AX45</f>
        <v>0</v>
      </c>
      <c r="AY38" s="184"/>
      <c r="AZ38" s="184"/>
      <c r="BA38" s="184"/>
      <c r="BB38" s="184"/>
      <c r="BC38" s="184"/>
      <c r="BD38" s="184"/>
      <c r="BE38" s="184"/>
      <c r="BF38" s="185"/>
      <c r="BG38" s="183">
        <f>BG39+BG40+BG41+BG42+BG43+BG44+BG45</f>
        <v>0</v>
      </c>
      <c r="BH38" s="184"/>
      <c r="BI38" s="184"/>
      <c r="BJ38" s="184"/>
      <c r="BK38" s="184"/>
      <c r="BL38" s="184"/>
      <c r="BM38" s="184"/>
      <c r="BN38" s="184"/>
      <c r="BO38" s="185"/>
      <c r="BP38" s="183">
        <f>BP39+BP40+BP41+BP42+BP43+BP44+BP45</f>
        <v>0</v>
      </c>
      <c r="BQ38" s="184"/>
      <c r="BR38" s="184"/>
      <c r="BS38" s="184"/>
      <c r="BT38" s="184"/>
      <c r="BU38" s="184"/>
      <c r="BV38" s="184"/>
      <c r="BW38" s="184"/>
      <c r="BX38" s="185"/>
      <c r="BY38" s="183">
        <f>BY39+BY40+BY41+BY42+BY43+BY44+BY45</f>
        <v>0</v>
      </c>
      <c r="BZ38" s="184"/>
      <c r="CA38" s="184"/>
      <c r="CB38" s="184"/>
      <c r="CC38" s="184"/>
      <c r="CD38" s="184"/>
      <c r="CE38" s="184"/>
      <c r="CF38" s="184"/>
      <c r="CG38" s="185"/>
      <c r="CH38" s="183">
        <f>CH39+CH40+CH41+CH42+CH43+CH44+CH45</f>
        <v>0</v>
      </c>
      <c r="CI38" s="184"/>
      <c r="CJ38" s="184"/>
      <c r="CK38" s="184"/>
      <c r="CL38" s="184"/>
      <c r="CM38" s="184"/>
      <c r="CN38" s="184"/>
      <c r="CO38" s="184"/>
      <c r="CP38" s="185"/>
      <c r="CQ38" s="183">
        <f>CQ39+CQ40+CQ41+CQ42+CQ43+CQ44+CQ45</f>
        <v>0</v>
      </c>
      <c r="CR38" s="184"/>
      <c r="CS38" s="184"/>
      <c r="CT38" s="184"/>
      <c r="CU38" s="184"/>
      <c r="CV38" s="184"/>
      <c r="CW38" s="184"/>
      <c r="CX38" s="184"/>
      <c r="CY38" s="185"/>
      <c r="CZ38" s="183">
        <f>CZ39+CZ40+CZ41+CZ42+CZ43+CZ44+CZ45</f>
        <v>0</v>
      </c>
      <c r="DA38" s="184"/>
      <c r="DB38" s="184"/>
      <c r="DC38" s="184"/>
      <c r="DD38" s="184"/>
      <c r="DE38" s="184"/>
      <c r="DF38" s="184"/>
      <c r="DG38" s="184"/>
      <c r="DH38" s="185"/>
      <c r="DI38" s="183">
        <f>DI39+DI40+DI41+DI42+DI43+DI44+DI45</f>
        <v>0</v>
      </c>
      <c r="DJ38" s="184"/>
      <c r="DK38" s="184"/>
      <c r="DL38" s="184"/>
      <c r="DM38" s="184"/>
      <c r="DN38" s="184"/>
      <c r="DO38" s="184"/>
      <c r="DP38" s="184"/>
      <c r="DQ38" s="185"/>
      <c r="DR38" s="183">
        <f>DR39+DR40+DR41+DR42+DR43+DR44+DR45</f>
        <v>0</v>
      </c>
      <c r="DS38" s="184"/>
      <c r="DT38" s="184"/>
      <c r="DU38" s="184"/>
      <c r="DV38" s="184"/>
      <c r="DW38" s="184"/>
      <c r="DX38" s="184"/>
      <c r="DY38" s="184"/>
      <c r="DZ38" s="185"/>
      <c r="EA38" s="186"/>
      <c r="EB38" s="187"/>
      <c r="EC38" s="187"/>
      <c r="ED38" s="187"/>
      <c r="EE38" s="187"/>
      <c r="EF38" s="187"/>
      <c r="EG38" s="187"/>
      <c r="EH38" s="187"/>
      <c r="EI38" s="187"/>
      <c r="EJ38" s="187"/>
      <c r="EK38" s="187"/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7"/>
      <c r="EX38" s="187"/>
      <c r="EY38" s="188"/>
    </row>
    <row r="39" spans="1:155" ht="13.5" customHeight="1">
      <c r="A39" s="159" t="s">
        <v>181</v>
      </c>
      <c r="B39" s="160"/>
      <c r="C39" s="160"/>
      <c r="D39" s="160"/>
      <c r="E39" s="160"/>
      <c r="F39" s="160"/>
      <c r="G39" s="164" t="s">
        <v>182</v>
      </c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6"/>
      <c r="AO39" s="154">
        <f aca="true" t="shared" si="0" ref="AO39:AO45">BG39+BY39+CQ39+DI39</f>
        <v>0</v>
      </c>
      <c r="AP39" s="154"/>
      <c r="AQ39" s="154"/>
      <c r="AR39" s="154"/>
      <c r="AS39" s="154"/>
      <c r="AT39" s="154"/>
      <c r="AU39" s="154"/>
      <c r="AV39" s="154"/>
      <c r="AW39" s="155"/>
      <c r="AX39" s="153">
        <f aca="true" t="shared" si="1" ref="AX39:AX45">BP39+CH39+CZ39+DR39</f>
        <v>0</v>
      </c>
      <c r="AY39" s="154"/>
      <c r="AZ39" s="154"/>
      <c r="BA39" s="154"/>
      <c r="BB39" s="154"/>
      <c r="BC39" s="154"/>
      <c r="BD39" s="154"/>
      <c r="BE39" s="154"/>
      <c r="BF39" s="155"/>
      <c r="BG39" s="153"/>
      <c r="BH39" s="154"/>
      <c r="BI39" s="154"/>
      <c r="BJ39" s="154"/>
      <c r="BK39" s="154"/>
      <c r="BL39" s="154"/>
      <c r="BM39" s="154"/>
      <c r="BN39" s="154"/>
      <c r="BO39" s="155"/>
      <c r="BP39" s="153"/>
      <c r="BQ39" s="154"/>
      <c r="BR39" s="154"/>
      <c r="BS39" s="154"/>
      <c r="BT39" s="154"/>
      <c r="BU39" s="154"/>
      <c r="BV39" s="154"/>
      <c r="BW39" s="154"/>
      <c r="BX39" s="155"/>
      <c r="BY39" s="153"/>
      <c r="BZ39" s="154"/>
      <c r="CA39" s="154"/>
      <c r="CB39" s="154"/>
      <c r="CC39" s="154"/>
      <c r="CD39" s="154"/>
      <c r="CE39" s="154"/>
      <c r="CF39" s="154"/>
      <c r="CG39" s="155"/>
      <c r="CH39" s="153"/>
      <c r="CI39" s="154"/>
      <c r="CJ39" s="154"/>
      <c r="CK39" s="154"/>
      <c r="CL39" s="154"/>
      <c r="CM39" s="154"/>
      <c r="CN39" s="154"/>
      <c r="CO39" s="154"/>
      <c r="CP39" s="155"/>
      <c r="CQ39" s="153"/>
      <c r="CR39" s="154"/>
      <c r="CS39" s="154"/>
      <c r="CT39" s="154"/>
      <c r="CU39" s="154"/>
      <c r="CV39" s="154"/>
      <c r="CW39" s="154"/>
      <c r="CX39" s="154"/>
      <c r="CY39" s="155"/>
      <c r="CZ39" s="153"/>
      <c r="DA39" s="154"/>
      <c r="DB39" s="154"/>
      <c r="DC39" s="154"/>
      <c r="DD39" s="154"/>
      <c r="DE39" s="154"/>
      <c r="DF39" s="154"/>
      <c r="DG39" s="154"/>
      <c r="DH39" s="155"/>
      <c r="DI39" s="153"/>
      <c r="DJ39" s="154"/>
      <c r="DK39" s="154"/>
      <c r="DL39" s="154"/>
      <c r="DM39" s="154"/>
      <c r="DN39" s="154"/>
      <c r="DO39" s="154"/>
      <c r="DP39" s="154"/>
      <c r="DQ39" s="155"/>
      <c r="DR39" s="153"/>
      <c r="DS39" s="154"/>
      <c r="DT39" s="154"/>
      <c r="DU39" s="154"/>
      <c r="DV39" s="154"/>
      <c r="DW39" s="154"/>
      <c r="DX39" s="154"/>
      <c r="DY39" s="154"/>
      <c r="DZ39" s="155"/>
      <c r="EA39" s="156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8"/>
    </row>
    <row r="40" spans="1:155" ht="14.25" customHeight="1">
      <c r="A40" s="159" t="s">
        <v>183</v>
      </c>
      <c r="B40" s="160"/>
      <c r="C40" s="160"/>
      <c r="D40" s="160"/>
      <c r="E40" s="160"/>
      <c r="F40" s="160"/>
      <c r="G40" s="164" t="s">
        <v>184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154">
        <f t="shared" si="0"/>
        <v>0</v>
      </c>
      <c r="AP40" s="154"/>
      <c r="AQ40" s="154"/>
      <c r="AR40" s="154"/>
      <c r="AS40" s="154"/>
      <c r="AT40" s="154"/>
      <c r="AU40" s="154"/>
      <c r="AV40" s="154"/>
      <c r="AW40" s="155"/>
      <c r="AX40" s="153">
        <f t="shared" si="1"/>
        <v>0</v>
      </c>
      <c r="AY40" s="154"/>
      <c r="AZ40" s="154"/>
      <c r="BA40" s="154"/>
      <c r="BB40" s="154"/>
      <c r="BC40" s="154"/>
      <c r="BD40" s="154"/>
      <c r="BE40" s="154"/>
      <c r="BF40" s="155"/>
      <c r="BG40" s="153"/>
      <c r="BH40" s="154"/>
      <c r="BI40" s="154"/>
      <c r="BJ40" s="154"/>
      <c r="BK40" s="154"/>
      <c r="BL40" s="154"/>
      <c r="BM40" s="154"/>
      <c r="BN40" s="154"/>
      <c r="BO40" s="155"/>
      <c r="BP40" s="153"/>
      <c r="BQ40" s="154"/>
      <c r="BR40" s="154"/>
      <c r="BS40" s="154"/>
      <c r="BT40" s="154"/>
      <c r="BU40" s="154"/>
      <c r="BV40" s="154"/>
      <c r="BW40" s="154"/>
      <c r="BX40" s="155"/>
      <c r="BY40" s="153"/>
      <c r="BZ40" s="154"/>
      <c r="CA40" s="154"/>
      <c r="CB40" s="154"/>
      <c r="CC40" s="154"/>
      <c r="CD40" s="154"/>
      <c r="CE40" s="154"/>
      <c r="CF40" s="154"/>
      <c r="CG40" s="155"/>
      <c r="CH40" s="153"/>
      <c r="CI40" s="154"/>
      <c r="CJ40" s="154"/>
      <c r="CK40" s="154"/>
      <c r="CL40" s="154"/>
      <c r="CM40" s="154"/>
      <c r="CN40" s="154"/>
      <c r="CO40" s="154"/>
      <c r="CP40" s="155"/>
      <c r="CQ40" s="153"/>
      <c r="CR40" s="154"/>
      <c r="CS40" s="154"/>
      <c r="CT40" s="154"/>
      <c r="CU40" s="154"/>
      <c r="CV40" s="154"/>
      <c r="CW40" s="154"/>
      <c r="CX40" s="154"/>
      <c r="CY40" s="155"/>
      <c r="CZ40" s="153"/>
      <c r="DA40" s="154"/>
      <c r="DB40" s="154"/>
      <c r="DC40" s="154"/>
      <c r="DD40" s="154"/>
      <c r="DE40" s="154"/>
      <c r="DF40" s="154"/>
      <c r="DG40" s="154"/>
      <c r="DH40" s="155"/>
      <c r="DI40" s="153"/>
      <c r="DJ40" s="154"/>
      <c r="DK40" s="154"/>
      <c r="DL40" s="154"/>
      <c r="DM40" s="154"/>
      <c r="DN40" s="154"/>
      <c r="DO40" s="154"/>
      <c r="DP40" s="154"/>
      <c r="DQ40" s="155"/>
      <c r="DR40" s="153"/>
      <c r="DS40" s="154"/>
      <c r="DT40" s="154"/>
      <c r="DU40" s="154"/>
      <c r="DV40" s="154"/>
      <c r="DW40" s="154"/>
      <c r="DX40" s="154"/>
      <c r="DY40" s="154"/>
      <c r="DZ40" s="155"/>
      <c r="EA40" s="156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8"/>
    </row>
    <row r="41" spans="1:155" ht="15" customHeight="1">
      <c r="A41" s="159" t="s">
        <v>185</v>
      </c>
      <c r="B41" s="160"/>
      <c r="C41" s="160"/>
      <c r="D41" s="160"/>
      <c r="E41" s="160"/>
      <c r="F41" s="160"/>
      <c r="G41" s="164" t="s">
        <v>186</v>
      </c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154">
        <f t="shared" si="0"/>
        <v>0</v>
      </c>
      <c r="AP41" s="154"/>
      <c r="AQ41" s="154"/>
      <c r="AR41" s="154"/>
      <c r="AS41" s="154"/>
      <c r="AT41" s="154"/>
      <c r="AU41" s="154"/>
      <c r="AV41" s="154"/>
      <c r="AW41" s="155"/>
      <c r="AX41" s="153">
        <f t="shared" si="1"/>
        <v>0</v>
      </c>
      <c r="AY41" s="154"/>
      <c r="AZ41" s="154"/>
      <c r="BA41" s="154"/>
      <c r="BB41" s="154"/>
      <c r="BC41" s="154"/>
      <c r="BD41" s="154"/>
      <c r="BE41" s="154"/>
      <c r="BF41" s="155"/>
      <c r="BG41" s="153"/>
      <c r="BH41" s="154"/>
      <c r="BI41" s="154"/>
      <c r="BJ41" s="154"/>
      <c r="BK41" s="154"/>
      <c r="BL41" s="154"/>
      <c r="BM41" s="154"/>
      <c r="BN41" s="154"/>
      <c r="BO41" s="155"/>
      <c r="BP41" s="153"/>
      <c r="BQ41" s="154"/>
      <c r="BR41" s="154"/>
      <c r="BS41" s="154"/>
      <c r="BT41" s="154"/>
      <c r="BU41" s="154"/>
      <c r="BV41" s="154"/>
      <c r="BW41" s="154"/>
      <c r="BX41" s="155"/>
      <c r="BY41" s="153"/>
      <c r="BZ41" s="154"/>
      <c r="CA41" s="154"/>
      <c r="CB41" s="154"/>
      <c r="CC41" s="154"/>
      <c r="CD41" s="154"/>
      <c r="CE41" s="154"/>
      <c r="CF41" s="154"/>
      <c r="CG41" s="155"/>
      <c r="CH41" s="153"/>
      <c r="CI41" s="154"/>
      <c r="CJ41" s="154"/>
      <c r="CK41" s="154"/>
      <c r="CL41" s="154"/>
      <c r="CM41" s="154"/>
      <c r="CN41" s="154"/>
      <c r="CO41" s="154"/>
      <c r="CP41" s="155"/>
      <c r="CQ41" s="153"/>
      <c r="CR41" s="154"/>
      <c r="CS41" s="154"/>
      <c r="CT41" s="154"/>
      <c r="CU41" s="154"/>
      <c r="CV41" s="154"/>
      <c r="CW41" s="154"/>
      <c r="CX41" s="154"/>
      <c r="CY41" s="155"/>
      <c r="CZ41" s="153"/>
      <c r="DA41" s="154"/>
      <c r="DB41" s="154"/>
      <c r="DC41" s="154"/>
      <c r="DD41" s="154"/>
      <c r="DE41" s="154"/>
      <c r="DF41" s="154"/>
      <c r="DG41" s="154"/>
      <c r="DH41" s="155"/>
      <c r="DI41" s="153"/>
      <c r="DJ41" s="154"/>
      <c r="DK41" s="154"/>
      <c r="DL41" s="154"/>
      <c r="DM41" s="154"/>
      <c r="DN41" s="154"/>
      <c r="DO41" s="154"/>
      <c r="DP41" s="154"/>
      <c r="DQ41" s="155"/>
      <c r="DR41" s="153"/>
      <c r="DS41" s="154"/>
      <c r="DT41" s="154"/>
      <c r="DU41" s="154"/>
      <c r="DV41" s="154"/>
      <c r="DW41" s="154"/>
      <c r="DX41" s="154"/>
      <c r="DY41" s="154"/>
      <c r="DZ41" s="155"/>
      <c r="EA41" s="156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8"/>
    </row>
    <row r="42" spans="1:155" ht="15" customHeight="1">
      <c r="A42" s="159" t="s">
        <v>187</v>
      </c>
      <c r="B42" s="160"/>
      <c r="C42" s="160"/>
      <c r="D42" s="160"/>
      <c r="E42" s="160"/>
      <c r="F42" s="160"/>
      <c r="G42" s="164" t="s">
        <v>188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6"/>
      <c r="AO42" s="154">
        <f t="shared" si="0"/>
        <v>0</v>
      </c>
      <c r="AP42" s="154"/>
      <c r="AQ42" s="154"/>
      <c r="AR42" s="154"/>
      <c r="AS42" s="154"/>
      <c r="AT42" s="154"/>
      <c r="AU42" s="154"/>
      <c r="AV42" s="154"/>
      <c r="AW42" s="155"/>
      <c r="AX42" s="153">
        <f t="shared" si="1"/>
        <v>0</v>
      </c>
      <c r="AY42" s="154"/>
      <c r="AZ42" s="154"/>
      <c r="BA42" s="154"/>
      <c r="BB42" s="154"/>
      <c r="BC42" s="154"/>
      <c r="BD42" s="154"/>
      <c r="BE42" s="154"/>
      <c r="BF42" s="155"/>
      <c r="BG42" s="153"/>
      <c r="BH42" s="154"/>
      <c r="BI42" s="154"/>
      <c r="BJ42" s="154"/>
      <c r="BK42" s="154"/>
      <c r="BL42" s="154"/>
      <c r="BM42" s="154"/>
      <c r="BN42" s="154"/>
      <c r="BO42" s="155"/>
      <c r="BP42" s="153"/>
      <c r="BQ42" s="154"/>
      <c r="BR42" s="154"/>
      <c r="BS42" s="154"/>
      <c r="BT42" s="154"/>
      <c r="BU42" s="154"/>
      <c r="BV42" s="154"/>
      <c r="BW42" s="154"/>
      <c r="BX42" s="155"/>
      <c r="BY42" s="153"/>
      <c r="BZ42" s="154"/>
      <c r="CA42" s="154"/>
      <c r="CB42" s="154"/>
      <c r="CC42" s="154"/>
      <c r="CD42" s="154"/>
      <c r="CE42" s="154"/>
      <c r="CF42" s="154"/>
      <c r="CG42" s="155"/>
      <c r="CH42" s="153"/>
      <c r="CI42" s="154"/>
      <c r="CJ42" s="154"/>
      <c r="CK42" s="154"/>
      <c r="CL42" s="154"/>
      <c r="CM42" s="154"/>
      <c r="CN42" s="154"/>
      <c r="CO42" s="154"/>
      <c r="CP42" s="155"/>
      <c r="CQ42" s="153"/>
      <c r="CR42" s="154"/>
      <c r="CS42" s="154"/>
      <c r="CT42" s="154"/>
      <c r="CU42" s="154"/>
      <c r="CV42" s="154"/>
      <c r="CW42" s="154"/>
      <c r="CX42" s="154"/>
      <c r="CY42" s="155"/>
      <c r="CZ42" s="153"/>
      <c r="DA42" s="154"/>
      <c r="DB42" s="154"/>
      <c r="DC42" s="154"/>
      <c r="DD42" s="154"/>
      <c r="DE42" s="154"/>
      <c r="DF42" s="154"/>
      <c r="DG42" s="154"/>
      <c r="DH42" s="155"/>
      <c r="DI42" s="153"/>
      <c r="DJ42" s="154"/>
      <c r="DK42" s="154"/>
      <c r="DL42" s="154"/>
      <c r="DM42" s="154"/>
      <c r="DN42" s="154"/>
      <c r="DO42" s="154"/>
      <c r="DP42" s="154"/>
      <c r="DQ42" s="155"/>
      <c r="DR42" s="153"/>
      <c r="DS42" s="154"/>
      <c r="DT42" s="154"/>
      <c r="DU42" s="154"/>
      <c r="DV42" s="154"/>
      <c r="DW42" s="154"/>
      <c r="DX42" s="154"/>
      <c r="DY42" s="154"/>
      <c r="DZ42" s="155"/>
      <c r="EA42" s="156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8"/>
    </row>
    <row r="43" spans="1:155" ht="16.5" customHeight="1">
      <c r="A43" s="159" t="s">
        <v>189</v>
      </c>
      <c r="B43" s="160"/>
      <c r="C43" s="160"/>
      <c r="D43" s="160"/>
      <c r="E43" s="160"/>
      <c r="F43" s="160"/>
      <c r="G43" s="164" t="s">
        <v>190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6"/>
      <c r="AO43" s="154">
        <f t="shared" si="0"/>
        <v>0</v>
      </c>
      <c r="AP43" s="154"/>
      <c r="AQ43" s="154"/>
      <c r="AR43" s="154"/>
      <c r="AS43" s="154"/>
      <c r="AT43" s="154"/>
      <c r="AU43" s="154"/>
      <c r="AV43" s="154"/>
      <c r="AW43" s="155"/>
      <c r="AX43" s="153">
        <f t="shared" si="1"/>
        <v>0</v>
      </c>
      <c r="AY43" s="154"/>
      <c r="AZ43" s="154"/>
      <c r="BA43" s="154"/>
      <c r="BB43" s="154"/>
      <c r="BC43" s="154"/>
      <c r="BD43" s="154"/>
      <c r="BE43" s="154"/>
      <c r="BF43" s="155"/>
      <c r="BG43" s="153"/>
      <c r="BH43" s="154"/>
      <c r="BI43" s="154"/>
      <c r="BJ43" s="154"/>
      <c r="BK43" s="154"/>
      <c r="BL43" s="154"/>
      <c r="BM43" s="154"/>
      <c r="BN43" s="154"/>
      <c r="BO43" s="155"/>
      <c r="BP43" s="153"/>
      <c r="BQ43" s="154"/>
      <c r="BR43" s="154"/>
      <c r="BS43" s="154"/>
      <c r="BT43" s="154"/>
      <c r="BU43" s="154"/>
      <c r="BV43" s="154"/>
      <c r="BW43" s="154"/>
      <c r="BX43" s="155"/>
      <c r="BY43" s="153"/>
      <c r="BZ43" s="154"/>
      <c r="CA43" s="154"/>
      <c r="CB43" s="154"/>
      <c r="CC43" s="154"/>
      <c r="CD43" s="154"/>
      <c r="CE43" s="154"/>
      <c r="CF43" s="154"/>
      <c r="CG43" s="155"/>
      <c r="CH43" s="153"/>
      <c r="CI43" s="154"/>
      <c r="CJ43" s="154"/>
      <c r="CK43" s="154"/>
      <c r="CL43" s="154"/>
      <c r="CM43" s="154"/>
      <c r="CN43" s="154"/>
      <c r="CO43" s="154"/>
      <c r="CP43" s="155"/>
      <c r="CQ43" s="153"/>
      <c r="CR43" s="154"/>
      <c r="CS43" s="154"/>
      <c r="CT43" s="154"/>
      <c r="CU43" s="154"/>
      <c r="CV43" s="154"/>
      <c r="CW43" s="154"/>
      <c r="CX43" s="154"/>
      <c r="CY43" s="155"/>
      <c r="CZ43" s="153"/>
      <c r="DA43" s="154"/>
      <c r="DB43" s="154"/>
      <c r="DC43" s="154"/>
      <c r="DD43" s="154"/>
      <c r="DE43" s="154"/>
      <c r="DF43" s="154"/>
      <c r="DG43" s="154"/>
      <c r="DH43" s="155"/>
      <c r="DI43" s="153"/>
      <c r="DJ43" s="154"/>
      <c r="DK43" s="154"/>
      <c r="DL43" s="154"/>
      <c r="DM43" s="154"/>
      <c r="DN43" s="154"/>
      <c r="DO43" s="154"/>
      <c r="DP43" s="154"/>
      <c r="DQ43" s="155"/>
      <c r="DR43" s="153"/>
      <c r="DS43" s="154"/>
      <c r="DT43" s="154"/>
      <c r="DU43" s="154"/>
      <c r="DV43" s="154"/>
      <c r="DW43" s="154"/>
      <c r="DX43" s="154"/>
      <c r="DY43" s="154"/>
      <c r="DZ43" s="155"/>
      <c r="EA43" s="156"/>
      <c r="EB43" s="157"/>
      <c r="EC43" s="157"/>
      <c r="ED43" s="157"/>
      <c r="EE43" s="157"/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8"/>
    </row>
    <row r="44" spans="1:155" ht="16.5" customHeight="1">
      <c r="A44" s="159" t="s">
        <v>191</v>
      </c>
      <c r="B44" s="160"/>
      <c r="C44" s="160"/>
      <c r="D44" s="160"/>
      <c r="E44" s="160"/>
      <c r="F44" s="160"/>
      <c r="G44" s="164" t="s">
        <v>192</v>
      </c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6"/>
      <c r="AO44" s="154">
        <f t="shared" si="0"/>
        <v>0</v>
      </c>
      <c r="AP44" s="154"/>
      <c r="AQ44" s="154"/>
      <c r="AR44" s="154"/>
      <c r="AS44" s="154"/>
      <c r="AT44" s="154"/>
      <c r="AU44" s="154"/>
      <c r="AV44" s="154"/>
      <c r="AW44" s="155"/>
      <c r="AX44" s="153">
        <f t="shared" si="1"/>
        <v>0</v>
      </c>
      <c r="AY44" s="154"/>
      <c r="AZ44" s="154"/>
      <c r="BA44" s="154"/>
      <c r="BB44" s="154"/>
      <c r="BC44" s="154"/>
      <c r="BD44" s="154"/>
      <c r="BE44" s="154"/>
      <c r="BF44" s="155"/>
      <c r="BG44" s="153"/>
      <c r="BH44" s="154"/>
      <c r="BI44" s="154"/>
      <c r="BJ44" s="154"/>
      <c r="BK44" s="154"/>
      <c r="BL44" s="154"/>
      <c r="BM44" s="154"/>
      <c r="BN44" s="154"/>
      <c r="BO44" s="155"/>
      <c r="BP44" s="153"/>
      <c r="BQ44" s="154"/>
      <c r="BR44" s="154"/>
      <c r="BS44" s="154"/>
      <c r="BT44" s="154"/>
      <c r="BU44" s="154"/>
      <c r="BV44" s="154"/>
      <c r="BW44" s="154"/>
      <c r="BX44" s="155"/>
      <c r="BY44" s="153"/>
      <c r="BZ44" s="154"/>
      <c r="CA44" s="154"/>
      <c r="CB44" s="154"/>
      <c r="CC44" s="154"/>
      <c r="CD44" s="154"/>
      <c r="CE44" s="154"/>
      <c r="CF44" s="154"/>
      <c r="CG44" s="155"/>
      <c r="CH44" s="153"/>
      <c r="CI44" s="154"/>
      <c r="CJ44" s="154"/>
      <c r="CK44" s="154"/>
      <c r="CL44" s="154"/>
      <c r="CM44" s="154"/>
      <c r="CN44" s="154"/>
      <c r="CO44" s="154"/>
      <c r="CP44" s="155"/>
      <c r="CQ44" s="153"/>
      <c r="CR44" s="154"/>
      <c r="CS44" s="154"/>
      <c r="CT44" s="154"/>
      <c r="CU44" s="154"/>
      <c r="CV44" s="154"/>
      <c r="CW44" s="154"/>
      <c r="CX44" s="154"/>
      <c r="CY44" s="155"/>
      <c r="CZ44" s="153"/>
      <c r="DA44" s="154"/>
      <c r="DB44" s="154"/>
      <c r="DC44" s="154"/>
      <c r="DD44" s="154"/>
      <c r="DE44" s="154"/>
      <c r="DF44" s="154"/>
      <c r="DG44" s="154"/>
      <c r="DH44" s="155"/>
      <c r="DI44" s="153"/>
      <c r="DJ44" s="154"/>
      <c r="DK44" s="154"/>
      <c r="DL44" s="154"/>
      <c r="DM44" s="154"/>
      <c r="DN44" s="154"/>
      <c r="DO44" s="154"/>
      <c r="DP44" s="154"/>
      <c r="DQ44" s="155"/>
      <c r="DR44" s="153"/>
      <c r="DS44" s="154"/>
      <c r="DT44" s="154"/>
      <c r="DU44" s="154"/>
      <c r="DV44" s="154"/>
      <c r="DW44" s="154"/>
      <c r="DX44" s="154"/>
      <c r="DY44" s="154"/>
      <c r="DZ44" s="155"/>
      <c r="EA44" s="156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58"/>
    </row>
    <row r="45" spans="1:155" ht="19.5" customHeight="1" thickBot="1">
      <c r="A45" s="178" t="s">
        <v>193</v>
      </c>
      <c r="B45" s="179"/>
      <c r="C45" s="179"/>
      <c r="D45" s="179"/>
      <c r="E45" s="179"/>
      <c r="F45" s="179"/>
      <c r="G45" s="180" t="s">
        <v>194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2"/>
      <c r="AO45" s="176">
        <f t="shared" si="0"/>
        <v>0</v>
      </c>
      <c r="AP45" s="176"/>
      <c r="AQ45" s="176"/>
      <c r="AR45" s="176"/>
      <c r="AS45" s="176"/>
      <c r="AT45" s="176"/>
      <c r="AU45" s="176"/>
      <c r="AV45" s="176"/>
      <c r="AW45" s="177"/>
      <c r="AX45" s="175">
        <f t="shared" si="1"/>
        <v>0</v>
      </c>
      <c r="AY45" s="176"/>
      <c r="AZ45" s="176"/>
      <c r="BA45" s="176"/>
      <c r="BB45" s="176"/>
      <c r="BC45" s="176"/>
      <c r="BD45" s="176"/>
      <c r="BE45" s="176"/>
      <c r="BF45" s="177"/>
      <c r="BG45" s="175"/>
      <c r="BH45" s="176"/>
      <c r="BI45" s="176"/>
      <c r="BJ45" s="176"/>
      <c r="BK45" s="176"/>
      <c r="BL45" s="176"/>
      <c r="BM45" s="176"/>
      <c r="BN45" s="176"/>
      <c r="BO45" s="177"/>
      <c r="BP45" s="175"/>
      <c r="BQ45" s="176"/>
      <c r="BR45" s="176"/>
      <c r="BS45" s="176"/>
      <c r="BT45" s="176"/>
      <c r="BU45" s="176"/>
      <c r="BV45" s="176"/>
      <c r="BW45" s="176"/>
      <c r="BX45" s="177"/>
      <c r="BY45" s="175"/>
      <c r="BZ45" s="176"/>
      <c r="CA45" s="176"/>
      <c r="CB45" s="176"/>
      <c r="CC45" s="176"/>
      <c r="CD45" s="176"/>
      <c r="CE45" s="176"/>
      <c r="CF45" s="176"/>
      <c r="CG45" s="177"/>
      <c r="CH45" s="175"/>
      <c r="CI45" s="176"/>
      <c r="CJ45" s="176"/>
      <c r="CK45" s="176"/>
      <c r="CL45" s="176"/>
      <c r="CM45" s="176"/>
      <c r="CN45" s="176"/>
      <c r="CO45" s="176"/>
      <c r="CP45" s="177"/>
      <c r="CQ45" s="175"/>
      <c r="CR45" s="176"/>
      <c r="CS45" s="176"/>
      <c r="CT45" s="176"/>
      <c r="CU45" s="176"/>
      <c r="CV45" s="176"/>
      <c r="CW45" s="176"/>
      <c r="CX45" s="176"/>
      <c r="CY45" s="177"/>
      <c r="CZ45" s="175"/>
      <c r="DA45" s="176"/>
      <c r="DB45" s="176"/>
      <c r="DC45" s="176"/>
      <c r="DD45" s="176"/>
      <c r="DE45" s="176"/>
      <c r="DF45" s="176"/>
      <c r="DG45" s="176"/>
      <c r="DH45" s="177"/>
      <c r="DI45" s="175"/>
      <c r="DJ45" s="176"/>
      <c r="DK45" s="176"/>
      <c r="DL45" s="176"/>
      <c r="DM45" s="176"/>
      <c r="DN45" s="176"/>
      <c r="DO45" s="176"/>
      <c r="DP45" s="176"/>
      <c r="DQ45" s="177"/>
      <c r="DR45" s="114"/>
      <c r="DS45" s="115"/>
      <c r="DT45" s="115"/>
      <c r="DU45" s="115"/>
      <c r="DV45" s="115"/>
      <c r="DW45" s="115"/>
      <c r="DX45" s="115"/>
      <c r="DY45" s="115"/>
      <c r="DZ45" s="116"/>
      <c r="EA45" s="167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9"/>
    </row>
    <row r="46" spans="1:155" s="12" customFormat="1" ht="10.5">
      <c r="A46" s="170"/>
      <c r="B46" s="171"/>
      <c r="C46" s="171"/>
      <c r="D46" s="171"/>
      <c r="E46" s="171"/>
      <c r="F46" s="171"/>
      <c r="G46" s="111" t="s">
        <v>195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3"/>
      <c r="AO46" s="172">
        <f>AO22+AO38</f>
        <v>16.88811</v>
      </c>
      <c r="AP46" s="172"/>
      <c r="AQ46" s="172"/>
      <c r="AR46" s="172"/>
      <c r="AS46" s="172"/>
      <c r="AT46" s="172"/>
      <c r="AU46" s="172"/>
      <c r="AV46" s="172"/>
      <c r="AW46" s="173"/>
      <c r="AX46" s="174">
        <f>AX22+AX38</f>
        <v>1.438738</v>
      </c>
      <c r="AY46" s="172"/>
      <c r="AZ46" s="172"/>
      <c r="BA46" s="172"/>
      <c r="BB46" s="172"/>
      <c r="BC46" s="172"/>
      <c r="BD46" s="172"/>
      <c r="BE46" s="172"/>
      <c r="BF46" s="173"/>
      <c r="BG46" s="174">
        <f>BG22+BG38</f>
        <v>1.438738</v>
      </c>
      <c r="BH46" s="172"/>
      <c r="BI46" s="172"/>
      <c r="BJ46" s="172"/>
      <c r="BK46" s="172"/>
      <c r="BL46" s="172"/>
      <c r="BM46" s="172"/>
      <c r="BN46" s="172"/>
      <c r="BO46" s="173"/>
      <c r="BP46" s="174">
        <f>BP22+BP38</f>
        <v>1.438738</v>
      </c>
      <c r="BQ46" s="172"/>
      <c r="BR46" s="172"/>
      <c r="BS46" s="172"/>
      <c r="BT46" s="172"/>
      <c r="BU46" s="172"/>
      <c r="BV46" s="172"/>
      <c r="BW46" s="172"/>
      <c r="BX46" s="173"/>
      <c r="BY46" s="174">
        <f>BY22+BY38</f>
        <v>1.357034928</v>
      </c>
      <c r="BZ46" s="172"/>
      <c r="CA46" s="172"/>
      <c r="CB46" s="172"/>
      <c r="CC46" s="172"/>
      <c r="CD46" s="172"/>
      <c r="CE46" s="172"/>
      <c r="CF46" s="172"/>
      <c r="CG46" s="173"/>
      <c r="CH46" s="174">
        <f>CH22+CH38</f>
        <v>0</v>
      </c>
      <c r="CI46" s="172"/>
      <c r="CJ46" s="172"/>
      <c r="CK46" s="172"/>
      <c r="CL46" s="172"/>
      <c r="CM46" s="172"/>
      <c r="CN46" s="172"/>
      <c r="CO46" s="172"/>
      <c r="CP46" s="173"/>
      <c r="CQ46" s="174">
        <f>CQ22+CQ38</f>
        <v>2.63310082399458</v>
      </c>
      <c r="CR46" s="172"/>
      <c r="CS46" s="172"/>
      <c r="CT46" s="172"/>
      <c r="CU46" s="172"/>
      <c r="CV46" s="172"/>
      <c r="CW46" s="172"/>
      <c r="CX46" s="172"/>
      <c r="CY46" s="173"/>
      <c r="CZ46" s="174">
        <f>CZ22+CZ38</f>
        <v>0</v>
      </c>
      <c r="DA46" s="172"/>
      <c r="DB46" s="172"/>
      <c r="DC46" s="172"/>
      <c r="DD46" s="172"/>
      <c r="DE46" s="172"/>
      <c r="DF46" s="172"/>
      <c r="DG46" s="172"/>
      <c r="DH46" s="173"/>
      <c r="DI46" s="174">
        <f>DI22+DI38</f>
        <v>11.459236248005421</v>
      </c>
      <c r="DJ46" s="172"/>
      <c r="DK46" s="172"/>
      <c r="DL46" s="172"/>
      <c r="DM46" s="172"/>
      <c r="DN46" s="172"/>
      <c r="DO46" s="172"/>
      <c r="DP46" s="172"/>
      <c r="DQ46" s="173"/>
      <c r="DR46" s="174">
        <f>DR22+DR38</f>
        <v>0</v>
      </c>
      <c r="DS46" s="172"/>
      <c r="DT46" s="172"/>
      <c r="DU46" s="172"/>
      <c r="DV46" s="172"/>
      <c r="DW46" s="172"/>
      <c r="DX46" s="172"/>
      <c r="DY46" s="172"/>
      <c r="DZ46" s="173"/>
      <c r="EA46" s="207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9"/>
    </row>
    <row r="47" spans="1:155" ht="10.5" customHeight="1">
      <c r="A47" s="159"/>
      <c r="B47" s="160"/>
      <c r="C47" s="160"/>
      <c r="D47" s="160"/>
      <c r="E47" s="160"/>
      <c r="F47" s="160"/>
      <c r="G47" s="164" t="s">
        <v>196</v>
      </c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6"/>
      <c r="AO47" s="154"/>
      <c r="AP47" s="154"/>
      <c r="AQ47" s="154"/>
      <c r="AR47" s="154"/>
      <c r="AS47" s="154"/>
      <c r="AT47" s="154"/>
      <c r="AU47" s="154"/>
      <c r="AV47" s="154"/>
      <c r="AW47" s="155"/>
      <c r="AX47" s="153"/>
      <c r="AY47" s="154"/>
      <c r="AZ47" s="154"/>
      <c r="BA47" s="154"/>
      <c r="BB47" s="154"/>
      <c r="BC47" s="154"/>
      <c r="BD47" s="154"/>
      <c r="BE47" s="154"/>
      <c r="BF47" s="155"/>
      <c r="BG47" s="153"/>
      <c r="BH47" s="154"/>
      <c r="BI47" s="154"/>
      <c r="BJ47" s="154"/>
      <c r="BK47" s="154"/>
      <c r="BL47" s="154"/>
      <c r="BM47" s="154"/>
      <c r="BN47" s="154"/>
      <c r="BO47" s="155"/>
      <c r="BP47" s="153"/>
      <c r="BQ47" s="154"/>
      <c r="BR47" s="154"/>
      <c r="BS47" s="154"/>
      <c r="BT47" s="154"/>
      <c r="BU47" s="154"/>
      <c r="BV47" s="154"/>
      <c r="BW47" s="154"/>
      <c r="BX47" s="155"/>
      <c r="BY47" s="153"/>
      <c r="BZ47" s="154"/>
      <c r="CA47" s="154"/>
      <c r="CB47" s="154"/>
      <c r="CC47" s="154"/>
      <c r="CD47" s="154"/>
      <c r="CE47" s="154"/>
      <c r="CF47" s="154"/>
      <c r="CG47" s="155"/>
      <c r="CH47" s="153"/>
      <c r="CI47" s="154"/>
      <c r="CJ47" s="154"/>
      <c r="CK47" s="154"/>
      <c r="CL47" s="154"/>
      <c r="CM47" s="154"/>
      <c r="CN47" s="154"/>
      <c r="CO47" s="154"/>
      <c r="CP47" s="155"/>
      <c r="CQ47" s="153"/>
      <c r="CR47" s="154"/>
      <c r="CS47" s="154"/>
      <c r="CT47" s="154"/>
      <c r="CU47" s="154"/>
      <c r="CV47" s="154"/>
      <c r="CW47" s="154"/>
      <c r="CX47" s="154"/>
      <c r="CY47" s="155"/>
      <c r="CZ47" s="153"/>
      <c r="DA47" s="154"/>
      <c r="DB47" s="154"/>
      <c r="DC47" s="154"/>
      <c r="DD47" s="154"/>
      <c r="DE47" s="154"/>
      <c r="DF47" s="154"/>
      <c r="DG47" s="154"/>
      <c r="DH47" s="155"/>
      <c r="DI47" s="153"/>
      <c r="DJ47" s="154"/>
      <c r="DK47" s="154"/>
      <c r="DL47" s="154"/>
      <c r="DM47" s="154"/>
      <c r="DN47" s="154"/>
      <c r="DO47" s="154"/>
      <c r="DP47" s="154"/>
      <c r="DQ47" s="155"/>
      <c r="DR47" s="153"/>
      <c r="DS47" s="154"/>
      <c r="DT47" s="154"/>
      <c r="DU47" s="154"/>
      <c r="DV47" s="154"/>
      <c r="DW47" s="154"/>
      <c r="DX47" s="154"/>
      <c r="DY47" s="154"/>
      <c r="DZ47" s="155"/>
      <c r="EA47" s="156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8"/>
    </row>
    <row r="48" spans="1:155" ht="10.5" customHeight="1">
      <c r="A48" s="159"/>
      <c r="B48" s="160"/>
      <c r="C48" s="160"/>
      <c r="D48" s="160"/>
      <c r="E48" s="160"/>
      <c r="F48" s="160"/>
      <c r="G48" s="161" t="s">
        <v>197</v>
      </c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3"/>
      <c r="AO48" s="154"/>
      <c r="AP48" s="154"/>
      <c r="AQ48" s="154"/>
      <c r="AR48" s="154"/>
      <c r="AS48" s="154"/>
      <c r="AT48" s="154"/>
      <c r="AU48" s="154"/>
      <c r="AV48" s="154"/>
      <c r="AW48" s="155"/>
      <c r="AX48" s="153"/>
      <c r="AY48" s="154"/>
      <c r="AZ48" s="154"/>
      <c r="BA48" s="154"/>
      <c r="BB48" s="154"/>
      <c r="BC48" s="154"/>
      <c r="BD48" s="154"/>
      <c r="BE48" s="154"/>
      <c r="BF48" s="155"/>
      <c r="BG48" s="153"/>
      <c r="BH48" s="154"/>
      <c r="BI48" s="154"/>
      <c r="BJ48" s="154"/>
      <c r="BK48" s="154"/>
      <c r="BL48" s="154"/>
      <c r="BM48" s="154"/>
      <c r="BN48" s="154"/>
      <c r="BO48" s="155"/>
      <c r="BP48" s="153"/>
      <c r="BQ48" s="154"/>
      <c r="BR48" s="154"/>
      <c r="BS48" s="154"/>
      <c r="BT48" s="154"/>
      <c r="BU48" s="154"/>
      <c r="BV48" s="154"/>
      <c r="BW48" s="154"/>
      <c r="BX48" s="155"/>
      <c r="BY48" s="153"/>
      <c r="BZ48" s="154"/>
      <c r="CA48" s="154"/>
      <c r="CB48" s="154"/>
      <c r="CC48" s="154"/>
      <c r="CD48" s="154"/>
      <c r="CE48" s="154"/>
      <c r="CF48" s="154"/>
      <c r="CG48" s="155"/>
      <c r="CH48" s="153"/>
      <c r="CI48" s="154"/>
      <c r="CJ48" s="154"/>
      <c r="CK48" s="154"/>
      <c r="CL48" s="154"/>
      <c r="CM48" s="154"/>
      <c r="CN48" s="154"/>
      <c r="CO48" s="154"/>
      <c r="CP48" s="155"/>
      <c r="CQ48" s="153"/>
      <c r="CR48" s="154"/>
      <c r="CS48" s="154"/>
      <c r="CT48" s="154"/>
      <c r="CU48" s="154"/>
      <c r="CV48" s="154"/>
      <c r="CW48" s="154"/>
      <c r="CX48" s="154"/>
      <c r="CY48" s="155"/>
      <c r="CZ48" s="153"/>
      <c r="DA48" s="154"/>
      <c r="DB48" s="154"/>
      <c r="DC48" s="154"/>
      <c r="DD48" s="154"/>
      <c r="DE48" s="154"/>
      <c r="DF48" s="154"/>
      <c r="DG48" s="154"/>
      <c r="DH48" s="155"/>
      <c r="DI48" s="153"/>
      <c r="DJ48" s="154"/>
      <c r="DK48" s="154"/>
      <c r="DL48" s="154"/>
      <c r="DM48" s="154"/>
      <c r="DN48" s="154"/>
      <c r="DO48" s="154"/>
      <c r="DP48" s="154"/>
      <c r="DQ48" s="155"/>
      <c r="DR48" s="153"/>
      <c r="DS48" s="154"/>
      <c r="DT48" s="154"/>
      <c r="DU48" s="154"/>
      <c r="DV48" s="154"/>
      <c r="DW48" s="154"/>
      <c r="DX48" s="154"/>
      <c r="DY48" s="154"/>
      <c r="DZ48" s="155"/>
      <c r="EA48" s="156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8"/>
    </row>
    <row r="49" spans="1:155" ht="10.5" customHeight="1" thickBot="1">
      <c r="A49" s="148"/>
      <c r="B49" s="149"/>
      <c r="C49" s="149"/>
      <c r="D49" s="149"/>
      <c r="E49" s="149"/>
      <c r="F49" s="149"/>
      <c r="G49" s="150" t="s">
        <v>198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2"/>
      <c r="AO49" s="115"/>
      <c r="AP49" s="115"/>
      <c r="AQ49" s="115"/>
      <c r="AR49" s="115"/>
      <c r="AS49" s="115"/>
      <c r="AT49" s="115"/>
      <c r="AU49" s="115"/>
      <c r="AV49" s="115"/>
      <c r="AW49" s="116"/>
      <c r="AX49" s="114"/>
      <c r="AY49" s="115"/>
      <c r="AZ49" s="115"/>
      <c r="BA49" s="115"/>
      <c r="BB49" s="115"/>
      <c r="BC49" s="115"/>
      <c r="BD49" s="115"/>
      <c r="BE49" s="115"/>
      <c r="BF49" s="116"/>
      <c r="BG49" s="114"/>
      <c r="BH49" s="115"/>
      <c r="BI49" s="115"/>
      <c r="BJ49" s="115"/>
      <c r="BK49" s="115"/>
      <c r="BL49" s="115"/>
      <c r="BM49" s="115"/>
      <c r="BN49" s="115"/>
      <c r="BO49" s="116"/>
      <c r="BP49" s="114"/>
      <c r="BQ49" s="115"/>
      <c r="BR49" s="115"/>
      <c r="BS49" s="115"/>
      <c r="BT49" s="115"/>
      <c r="BU49" s="115"/>
      <c r="BV49" s="115"/>
      <c r="BW49" s="115"/>
      <c r="BX49" s="116"/>
      <c r="BY49" s="114"/>
      <c r="BZ49" s="115"/>
      <c r="CA49" s="115"/>
      <c r="CB49" s="115"/>
      <c r="CC49" s="115"/>
      <c r="CD49" s="115"/>
      <c r="CE49" s="115"/>
      <c r="CF49" s="115"/>
      <c r="CG49" s="116"/>
      <c r="CH49" s="147"/>
      <c r="CI49" s="147"/>
      <c r="CJ49" s="147"/>
      <c r="CK49" s="147"/>
      <c r="CL49" s="147"/>
      <c r="CM49" s="147"/>
      <c r="CN49" s="147"/>
      <c r="CO49" s="147"/>
      <c r="CP49" s="147"/>
      <c r="CQ49" s="114"/>
      <c r="CR49" s="115"/>
      <c r="CS49" s="115"/>
      <c r="CT49" s="115"/>
      <c r="CU49" s="115"/>
      <c r="CV49" s="115"/>
      <c r="CW49" s="115"/>
      <c r="CX49" s="115"/>
      <c r="CY49" s="116"/>
      <c r="CZ49" s="114"/>
      <c r="DA49" s="115"/>
      <c r="DB49" s="115"/>
      <c r="DC49" s="115"/>
      <c r="DD49" s="115"/>
      <c r="DE49" s="115"/>
      <c r="DF49" s="115"/>
      <c r="DG49" s="115"/>
      <c r="DH49" s="116"/>
      <c r="DI49" s="114"/>
      <c r="DJ49" s="115"/>
      <c r="DK49" s="115"/>
      <c r="DL49" s="115"/>
      <c r="DM49" s="115"/>
      <c r="DN49" s="115"/>
      <c r="DO49" s="115"/>
      <c r="DP49" s="115"/>
      <c r="DQ49" s="116"/>
      <c r="DR49" s="114"/>
      <c r="DS49" s="115"/>
      <c r="DT49" s="115"/>
      <c r="DU49" s="115"/>
      <c r="DV49" s="115"/>
      <c r="DW49" s="115"/>
      <c r="DX49" s="115"/>
      <c r="DY49" s="115"/>
      <c r="DZ49" s="116"/>
      <c r="EA49" s="121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8"/>
    </row>
    <row r="50" spans="6:7" s="13" customFormat="1" ht="13.5" customHeight="1">
      <c r="F50" s="14" t="s">
        <v>199</v>
      </c>
      <c r="G50" s="13" t="s">
        <v>200</v>
      </c>
    </row>
    <row r="51" spans="5:7" s="13" customFormat="1" ht="10.5">
      <c r="E51" s="14"/>
      <c r="F51" s="14" t="s">
        <v>201</v>
      </c>
      <c r="G51" s="13" t="s">
        <v>202</v>
      </c>
    </row>
    <row r="54" spans="5:128" ht="20.25">
      <c r="E54" s="120" t="s">
        <v>93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DB54" s="120" t="s">
        <v>94</v>
      </c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</row>
    <row r="55" ht="46.5" customHeight="1"/>
  </sheetData>
  <sheetProtection/>
  <mergeCells count="396">
    <mergeCell ref="DX9:EY9"/>
    <mergeCell ref="A19:F21"/>
    <mergeCell ref="G19:AN21"/>
    <mergeCell ref="AO19:DZ19"/>
    <mergeCell ref="AO20:BF20"/>
    <mergeCell ref="BG20:BX20"/>
    <mergeCell ref="BY20:CP20"/>
    <mergeCell ref="CQ20:DH20"/>
    <mergeCell ref="DI20:DZ20"/>
    <mergeCell ref="AO21:AW21"/>
    <mergeCell ref="DI21:DQ21"/>
    <mergeCell ref="CH21:CP21"/>
    <mergeCell ref="ER13:ET13"/>
    <mergeCell ref="A22:F22"/>
    <mergeCell ref="AO22:AW22"/>
    <mergeCell ref="AX22:BF22"/>
    <mergeCell ref="BG22:BO22"/>
    <mergeCell ref="BP22:BX22"/>
    <mergeCell ref="BY22:CG22"/>
    <mergeCell ref="CH22:CP22"/>
    <mergeCell ref="CZ22:DH22"/>
    <mergeCell ref="CQ21:CY21"/>
    <mergeCell ref="CZ21:DH21"/>
    <mergeCell ref="CQ22:CY22"/>
    <mergeCell ref="AX21:BF21"/>
    <mergeCell ref="BG21:BO21"/>
    <mergeCell ref="BP21:BX21"/>
    <mergeCell ref="BY21:CG21"/>
    <mergeCell ref="EA19:EY21"/>
    <mergeCell ref="DX11:EY11"/>
    <mergeCell ref="DX12:EY12"/>
    <mergeCell ref="DW13:DX13"/>
    <mergeCell ref="DY13:EA13"/>
    <mergeCell ref="EB13:EC13"/>
    <mergeCell ref="ED13:EN13"/>
    <mergeCell ref="DR21:DZ21"/>
    <mergeCell ref="EO13:EQ13"/>
    <mergeCell ref="DR22:DZ22"/>
    <mergeCell ref="EA22:EY22"/>
    <mergeCell ref="G22:AN22"/>
    <mergeCell ref="CZ46:DH46"/>
    <mergeCell ref="DI46:DQ46"/>
    <mergeCell ref="DR46:DZ46"/>
    <mergeCell ref="EA46:EY46"/>
    <mergeCell ref="DI22:DQ22"/>
    <mergeCell ref="BG23:BO23"/>
    <mergeCell ref="BP23:BX23"/>
    <mergeCell ref="A23:F23"/>
    <mergeCell ref="G23:AN23"/>
    <mergeCell ref="AO23:AW23"/>
    <mergeCell ref="AX23:BF23"/>
    <mergeCell ref="BY23:CG23"/>
    <mergeCell ref="CH23:CP23"/>
    <mergeCell ref="CQ23:CY23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DI24:DQ24"/>
    <mergeCell ref="CQ25:CY25"/>
    <mergeCell ref="CZ25:DH25"/>
    <mergeCell ref="DI25:DQ25"/>
    <mergeCell ref="BG25:BO25"/>
    <mergeCell ref="BP25:BX25"/>
    <mergeCell ref="BY25:CG25"/>
    <mergeCell ref="CH25:CP25"/>
    <mergeCell ref="A25:F25"/>
    <mergeCell ref="G25:AN25"/>
    <mergeCell ref="AO25:AW25"/>
    <mergeCell ref="AX25:BF25"/>
    <mergeCell ref="BP26:BX26"/>
    <mergeCell ref="DR25:DZ25"/>
    <mergeCell ref="DR24:DZ24"/>
    <mergeCell ref="EA24:EY24"/>
    <mergeCell ref="DR26:DZ26"/>
    <mergeCell ref="EA26:EY26"/>
    <mergeCell ref="EA25:EY25"/>
    <mergeCell ref="CH24:CP24"/>
    <mergeCell ref="CQ24:CY24"/>
    <mergeCell ref="CZ24:DH24"/>
    <mergeCell ref="BY26:CG26"/>
    <mergeCell ref="A27:F27"/>
    <mergeCell ref="G27:AN27"/>
    <mergeCell ref="AO27:AW27"/>
    <mergeCell ref="AX27:BF27"/>
    <mergeCell ref="A26:F26"/>
    <mergeCell ref="G26:AN26"/>
    <mergeCell ref="AO26:AW26"/>
    <mergeCell ref="AX26:BF26"/>
    <mergeCell ref="BG26:BO26"/>
    <mergeCell ref="DI26:DQ26"/>
    <mergeCell ref="CH26:CP26"/>
    <mergeCell ref="CQ26:CY26"/>
    <mergeCell ref="CQ27:CY27"/>
    <mergeCell ref="CZ27:DH27"/>
    <mergeCell ref="DI27:DQ27"/>
    <mergeCell ref="CZ26:DH26"/>
    <mergeCell ref="BG28:BO28"/>
    <mergeCell ref="BP28:BX28"/>
    <mergeCell ref="BY28:CG28"/>
    <mergeCell ref="DR27:DZ27"/>
    <mergeCell ref="BG27:BO27"/>
    <mergeCell ref="BP27:BX27"/>
    <mergeCell ref="BY27:CG27"/>
    <mergeCell ref="CH27:CP27"/>
    <mergeCell ref="DR28:DZ28"/>
    <mergeCell ref="A28:F28"/>
    <mergeCell ref="G28:AN28"/>
    <mergeCell ref="AO28:AW28"/>
    <mergeCell ref="AX28:BF28"/>
    <mergeCell ref="CQ29:CY29"/>
    <mergeCell ref="CZ29:DH29"/>
    <mergeCell ref="EA28:EY28"/>
    <mergeCell ref="EA27:EY27"/>
    <mergeCell ref="CZ28:DH28"/>
    <mergeCell ref="DI28:DQ28"/>
    <mergeCell ref="CH28:CP28"/>
    <mergeCell ref="CQ28:C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DI29:DQ29"/>
    <mergeCell ref="DR29:DZ29"/>
    <mergeCell ref="CQ31:CY31"/>
    <mergeCell ref="CZ31:DH31"/>
    <mergeCell ref="DR30:DZ30"/>
    <mergeCell ref="EA30:EY30"/>
    <mergeCell ref="CZ30:DH30"/>
    <mergeCell ref="DI30:DQ30"/>
    <mergeCell ref="CH30:CP30"/>
    <mergeCell ref="CQ30:C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DI31:DQ31"/>
    <mergeCell ref="DR31:DZ31"/>
    <mergeCell ref="CQ33:CY33"/>
    <mergeCell ref="CZ33:DH33"/>
    <mergeCell ref="DR32:DZ32"/>
    <mergeCell ref="EA32:EY32"/>
    <mergeCell ref="CZ32:DH32"/>
    <mergeCell ref="DI32:DQ32"/>
    <mergeCell ref="CH32:CP32"/>
    <mergeCell ref="CQ32:C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DI33:DQ33"/>
    <mergeCell ref="DR33:DZ33"/>
    <mergeCell ref="CQ35:CY35"/>
    <mergeCell ref="CZ35:DH35"/>
    <mergeCell ref="DR34:DZ34"/>
    <mergeCell ref="EA34:EY34"/>
    <mergeCell ref="CZ34:DH34"/>
    <mergeCell ref="DI34:DQ34"/>
    <mergeCell ref="CH34:CP34"/>
    <mergeCell ref="CQ34:C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DI35:DQ35"/>
    <mergeCell ref="DR35:DZ35"/>
    <mergeCell ref="CQ37:CY37"/>
    <mergeCell ref="CZ37:DH37"/>
    <mergeCell ref="DR36:DZ36"/>
    <mergeCell ref="EA36:EY36"/>
    <mergeCell ref="CZ36:DH36"/>
    <mergeCell ref="DI36:DQ36"/>
    <mergeCell ref="CH36:CP36"/>
    <mergeCell ref="CQ36:C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DI37:DQ37"/>
    <mergeCell ref="DR37:DZ37"/>
    <mergeCell ref="CQ39:CY39"/>
    <mergeCell ref="CZ39:DH39"/>
    <mergeCell ref="DR38:DZ38"/>
    <mergeCell ref="EA38:EY38"/>
    <mergeCell ref="CZ38:DH38"/>
    <mergeCell ref="DI38:DQ38"/>
    <mergeCell ref="CH38:CP38"/>
    <mergeCell ref="CQ38:C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DI39:DQ39"/>
    <mergeCell ref="DR39:DZ39"/>
    <mergeCell ref="CQ41:CY41"/>
    <mergeCell ref="CZ41:DH41"/>
    <mergeCell ref="DR40:DZ40"/>
    <mergeCell ref="EA40:EY40"/>
    <mergeCell ref="CZ40:DH40"/>
    <mergeCell ref="DI40:DQ40"/>
    <mergeCell ref="CH40:CP40"/>
    <mergeCell ref="CQ40:CY40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DI41:DQ41"/>
    <mergeCell ref="DR41:DZ41"/>
    <mergeCell ref="DI43:DQ43"/>
    <mergeCell ref="CZ43:DH43"/>
    <mergeCell ref="DR42:DZ42"/>
    <mergeCell ref="EA42:EY42"/>
    <mergeCell ref="CZ42:DH42"/>
    <mergeCell ref="DI42:DQ42"/>
    <mergeCell ref="CH42:CP42"/>
    <mergeCell ref="CQ42:CY42"/>
    <mergeCell ref="CQ44:CY44"/>
    <mergeCell ref="CQ43:CY43"/>
    <mergeCell ref="A43:F43"/>
    <mergeCell ref="G43:AN43"/>
    <mergeCell ref="AO43:AW43"/>
    <mergeCell ref="AX43:BF43"/>
    <mergeCell ref="CH43:CP43"/>
    <mergeCell ref="BP44:BX44"/>
    <mergeCell ref="BY44:CG44"/>
    <mergeCell ref="CH44:CP44"/>
    <mergeCell ref="EA43:EY43"/>
    <mergeCell ref="A44:F44"/>
    <mergeCell ref="G44:AN44"/>
    <mergeCell ref="AO44:AW44"/>
    <mergeCell ref="AX44:BF44"/>
    <mergeCell ref="BG44:BO44"/>
    <mergeCell ref="DR43:DZ43"/>
    <mergeCell ref="BG43:BO43"/>
    <mergeCell ref="BP43:BX43"/>
    <mergeCell ref="BY43:CG43"/>
    <mergeCell ref="CZ44:DH44"/>
    <mergeCell ref="DI44:DQ44"/>
    <mergeCell ref="DR44:DZ44"/>
    <mergeCell ref="EA44:EY44"/>
    <mergeCell ref="A45:F45"/>
    <mergeCell ref="G45:AN45"/>
    <mergeCell ref="AO45:AW45"/>
    <mergeCell ref="AX45:BF45"/>
    <mergeCell ref="CZ45:DH45"/>
    <mergeCell ref="DI45:DQ45"/>
    <mergeCell ref="DR45:DZ45"/>
    <mergeCell ref="BG45:BO45"/>
    <mergeCell ref="BP45:BX45"/>
    <mergeCell ref="BY45:CG45"/>
    <mergeCell ref="CH45:CP45"/>
    <mergeCell ref="EA45:EY45"/>
    <mergeCell ref="A46:F46"/>
    <mergeCell ref="AO46:AW46"/>
    <mergeCell ref="AX46:BF46"/>
    <mergeCell ref="BG46:BO46"/>
    <mergeCell ref="BP46:BX46"/>
    <mergeCell ref="BY46:CG46"/>
    <mergeCell ref="CH46:CP46"/>
    <mergeCell ref="CQ46:CY46"/>
    <mergeCell ref="CQ45:CY45"/>
    <mergeCell ref="A47:F47"/>
    <mergeCell ref="G47:AN47"/>
    <mergeCell ref="AO47:AW47"/>
    <mergeCell ref="AX47:BF47"/>
    <mergeCell ref="BG47:BO47"/>
    <mergeCell ref="BP47:BX47"/>
    <mergeCell ref="BY47:CG47"/>
    <mergeCell ref="CH47:CP47"/>
    <mergeCell ref="CQ48:CY48"/>
    <mergeCell ref="CQ47:CY47"/>
    <mergeCell ref="CZ47:DH47"/>
    <mergeCell ref="CZ48:DH48"/>
    <mergeCell ref="BG48:BO48"/>
    <mergeCell ref="BP48:BX48"/>
    <mergeCell ref="BY48:CG48"/>
    <mergeCell ref="CH48:CP48"/>
    <mergeCell ref="A48:F48"/>
    <mergeCell ref="G48:AN48"/>
    <mergeCell ref="AO48:AW48"/>
    <mergeCell ref="AX48:BF48"/>
    <mergeCell ref="DI48:DQ48"/>
    <mergeCell ref="DR48:DZ48"/>
    <mergeCell ref="EA48:EY48"/>
    <mergeCell ref="EA47:EY47"/>
    <mergeCell ref="DI47:DQ47"/>
    <mergeCell ref="DR47:DZ47"/>
    <mergeCell ref="A49:F49"/>
    <mergeCell ref="G49:AN49"/>
    <mergeCell ref="AO49:AW49"/>
    <mergeCell ref="AX49:BF49"/>
    <mergeCell ref="BG49:BO49"/>
    <mergeCell ref="BP49:BX49"/>
    <mergeCell ref="BY49:CG49"/>
    <mergeCell ref="CH49:CP49"/>
    <mergeCell ref="E54:BH54"/>
    <mergeCell ref="DB54:DX54"/>
    <mergeCell ref="EA49:EY49"/>
    <mergeCell ref="A5:EY5"/>
    <mergeCell ref="A6:EY6"/>
    <mergeCell ref="G46:AN46"/>
    <mergeCell ref="CQ49:CY49"/>
    <mergeCell ref="CZ49:DH49"/>
    <mergeCell ref="DI49:DQ49"/>
    <mergeCell ref="DR49:DZ49"/>
  </mergeCells>
  <printOptions horizontalCentered="1"/>
  <pageMargins left="0.7874015748031497" right="0.7086614173228347" top="0.5905511811023623" bottom="0.31496062992125984" header="0.1968503937007874" footer="0.1968503937007874"/>
  <pageSetup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DB52"/>
  <sheetViews>
    <sheetView view="pageBreakPreview" zoomScaleSheetLayoutView="100" zoomScalePageLayoutView="0" workbookViewId="0" topLeftCell="A8">
      <selection activeCell="EH45" sqref="EH45"/>
    </sheetView>
  </sheetViews>
  <sheetFormatPr defaultColWidth="0.875" defaultRowHeight="12.75"/>
  <cols>
    <col min="1" max="105" width="0.875" style="15" customWidth="1"/>
    <col min="106" max="106" width="12.125" style="15" customWidth="1"/>
    <col min="107" max="16384" width="0.875" style="15" customWidth="1"/>
  </cols>
  <sheetData>
    <row r="1" spans="81:105" ht="33.75" customHeight="1">
      <c r="CC1" s="260" t="s">
        <v>203</v>
      </c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</row>
    <row r="3" spans="1:105" s="7" customFormat="1" ht="31.5" customHeight="1">
      <c r="A3" s="119" t="s">
        <v>204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</row>
    <row r="5" spans="11:91" s="16" customFormat="1" ht="12.75">
      <c r="K5" s="262" t="s">
        <v>205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1" t="s">
        <v>148</v>
      </c>
      <c r="BF5" s="261"/>
      <c r="BG5" s="261"/>
      <c r="BH5" s="261"/>
      <c r="BI5" s="263" t="s">
        <v>206</v>
      </c>
      <c r="BJ5" s="263"/>
      <c r="BK5" s="263"/>
      <c r="BL5" s="263"/>
      <c r="BM5" s="263"/>
      <c r="BN5" s="263"/>
      <c r="BO5" s="263"/>
      <c r="BP5" s="263"/>
      <c r="BQ5" s="263"/>
      <c r="BR5" s="263"/>
      <c r="BS5" s="261" t="s">
        <v>249</v>
      </c>
      <c r="BT5" s="261"/>
      <c r="BU5" s="261"/>
      <c r="BV5" s="261"/>
      <c r="BW5" s="261"/>
      <c r="BX5" s="261"/>
      <c r="BY5" s="261"/>
      <c r="BZ5" s="251" t="s">
        <v>207</v>
      </c>
      <c r="CA5" s="251"/>
      <c r="CB5" s="251"/>
      <c r="CC5" s="251"/>
      <c r="CD5" s="251"/>
      <c r="CE5" s="251"/>
      <c r="CF5" s="261" t="s">
        <v>208</v>
      </c>
      <c r="CG5" s="261"/>
      <c r="CH5" s="261"/>
      <c r="CI5" s="261"/>
      <c r="CJ5" s="261"/>
      <c r="CK5" s="261"/>
      <c r="CL5" s="261"/>
      <c r="CM5" s="16" t="s">
        <v>209</v>
      </c>
    </row>
    <row r="7" spans="78:105" ht="78.75" customHeight="1">
      <c r="BZ7" s="230" t="s">
        <v>315</v>
      </c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</row>
    <row r="8" spans="78:105" ht="12.75"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</row>
    <row r="9" spans="77:105" ht="12.75">
      <c r="BY9" s="1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</row>
    <row r="10" spans="78:105" ht="12.75">
      <c r="BZ10" s="220" t="s">
        <v>3</v>
      </c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</row>
    <row r="11" spans="77:104" ht="12.75">
      <c r="BY11" s="248" t="s">
        <v>144</v>
      </c>
      <c r="BZ11" s="248"/>
      <c r="CA11" s="249" t="s">
        <v>323</v>
      </c>
      <c r="CB11" s="249"/>
      <c r="CC11" s="249"/>
      <c r="CD11" s="250" t="s">
        <v>144</v>
      </c>
      <c r="CE11" s="250"/>
      <c r="CF11" s="249" t="s">
        <v>321</v>
      </c>
      <c r="CG11" s="249"/>
      <c r="CH11" s="249"/>
      <c r="CI11" s="249"/>
      <c r="CJ11" s="249"/>
      <c r="CK11" s="249"/>
      <c r="CL11" s="249"/>
      <c r="CM11" s="249"/>
      <c r="CN11" s="249"/>
      <c r="CO11" s="249"/>
      <c r="CP11" s="248">
        <v>20</v>
      </c>
      <c r="CQ11" s="248"/>
      <c r="CR11" s="248"/>
      <c r="CS11" s="240" t="s">
        <v>322</v>
      </c>
      <c r="CT11" s="240"/>
      <c r="CU11" s="240"/>
      <c r="CW11" s="19" t="s">
        <v>4</v>
      </c>
      <c r="CZ11" s="19"/>
    </row>
    <row r="12" ht="12.75">
      <c r="DA12" s="18" t="s">
        <v>6</v>
      </c>
    </row>
    <row r="14" spans="1:105" ht="12.75">
      <c r="A14" s="241" t="s">
        <v>210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3"/>
      <c r="BB14" s="241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3"/>
      <c r="CB14" s="241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3"/>
    </row>
    <row r="15" spans="1:105" ht="39.75" customHeight="1">
      <c r="A15" s="252" t="s">
        <v>211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4"/>
      <c r="BB15" s="255" t="s">
        <v>212</v>
      </c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7"/>
      <c r="CB15" s="255" t="s">
        <v>213</v>
      </c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7"/>
    </row>
    <row r="16" spans="1:105" ht="12.75">
      <c r="A16" s="252">
        <v>1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4"/>
      <c r="BB16" s="252">
        <v>2</v>
      </c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4"/>
      <c r="CB16" s="252">
        <v>3</v>
      </c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4"/>
    </row>
    <row r="17" spans="1:105" s="21" customFormat="1" ht="12.75">
      <c r="A17" s="20"/>
      <c r="B17" s="245" t="s">
        <v>214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6"/>
      <c r="BB17" s="287">
        <v>29766</v>
      </c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9"/>
      <c r="CB17" s="287">
        <v>27664</v>
      </c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9"/>
    </row>
    <row r="18" spans="1:105" s="21" customFormat="1" ht="12.75">
      <c r="A18" s="20"/>
      <c r="B18" s="245" t="s">
        <v>215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6"/>
      <c r="BB18" s="287">
        <v>2984</v>
      </c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9"/>
      <c r="CB18" s="287">
        <v>5697</v>
      </c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9"/>
    </row>
    <row r="19" spans="1:105" s="21" customFormat="1" ht="12.75">
      <c r="A19" s="20"/>
      <c r="B19" s="245" t="s">
        <v>216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6"/>
      <c r="BB19" s="287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9"/>
      <c r="CB19" s="287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9"/>
    </row>
    <row r="20" spans="1:105" s="21" customFormat="1" ht="12.75">
      <c r="A20" s="264"/>
      <c r="B20" s="245"/>
      <c r="C20" s="245"/>
      <c r="D20" s="245" t="s">
        <v>217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6"/>
      <c r="BB20" s="287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9"/>
      <c r="CB20" s="287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9"/>
    </row>
    <row r="21" spans="1:106" s="21" customFormat="1" ht="12.75">
      <c r="A21" s="258"/>
      <c r="B21" s="259"/>
      <c r="C21" s="259"/>
      <c r="D21" s="245" t="s">
        <v>218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6"/>
      <c r="BB21" s="287">
        <f>1438.73775</f>
        <v>1438.73775</v>
      </c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9"/>
      <c r="CB21" s="287">
        <v>5697</v>
      </c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9"/>
      <c r="DB21" s="26"/>
    </row>
    <row r="22" spans="1:105" s="21" customFormat="1" ht="12.75">
      <c r="A22" s="20"/>
      <c r="B22" s="245" t="s">
        <v>219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6"/>
      <c r="BB22" s="287">
        <f>(3781)+(3000.68062)+(434)</f>
        <v>7215.68062</v>
      </c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9"/>
      <c r="CB22" s="287">
        <f>7274+646.31303+39</f>
        <v>7959.31303</v>
      </c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9"/>
    </row>
    <row r="23" spans="1:105" s="21" customFormat="1" ht="12.75">
      <c r="A23" s="22"/>
      <c r="B23" s="245" t="s">
        <v>220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6"/>
      <c r="BB23" s="287">
        <f>BB24+BB25</f>
        <v>42496</v>
      </c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9"/>
      <c r="CB23" s="287">
        <f>CB24+CB25</f>
        <v>15512</v>
      </c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9"/>
    </row>
    <row r="24" spans="1:105" s="21" customFormat="1" ht="12.75">
      <c r="A24" s="264"/>
      <c r="B24" s="245"/>
      <c r="C24" s="245"/>
      <c r="D24" s="245" t="s">
        <v>221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6"/>
      <c r="BB24" s="287">
        <v>42496</v>
      </c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9"/>
      <c r="CB24" s="287">
        <v>15512</v>
      </c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9"/>
    </row>
    <row r="25" spans="1:105" s="21" customFormat="1" ht="12.75">
      <c r="A25" s="258"/>
      <c r="B25" s="259"/>
      <c r="C25" s="259"/>
      <c r="D25" s="245" t="s">
        <v>222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6"/>
      <c r="BB25" s="287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9"/>
      <c r="CB25" s="287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9"/>
    </row>
    <row r="26" spans="1:105" s="21" customFormat="1" ht="12.75">
      <c r="A26" s="20"/>
      <c r="B26" s="245" t="s">
        <v>223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6"/>
      <c r="BB26" s="287">
        <v>100903</v>
      </c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9"/>
      <c r="CB26" s="287">
        <v>5707</v>
      </c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9"/>
    </row>
    <row r="27" spans="1:105" s="21" customFormat="1" ht="25.5" customHeight="1">
      <c r="A27" s="22"/>
      <c r="B27" s="265" t="s">
        <v>224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6"/>
      <c r="BB27" s="287">
        <v>240</v>
      </c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9"/>
      <c r="CB27" s="287">
        <v>10</v>
      </c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9"/>
    </row>
    <row r="28" spans="1:105" s="21" customFormat="1" ht="12.75">
      <c r="A28" s="264"/>
      <c r="B28" s="245"/>
      <c r="C28" s="245"/>
      <c r="D28" s="245" t="s">
        <v>225</v>
      </c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6"/>
      <c r="BB28" s="287">
        <v>0</v>
      </c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9"/>
      <c r="CB28" s="287">
        <v>0</v>
      </c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9"/>
    </row>
    <row r="29" spans="1:105" s="21" customFormat="1" ht="12.75">
      <c r="A29" s="264"/>
      <c r="B29" s="245"/>
      <c r="C29" s="245"/>
      <c r="D29" s="245" t="s">
        <v>226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6"/>
      <c r="BB29" s="287">
        <v>0</v>
      </c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9"/>
      <c r="CB29" s="287">
        <v>0</v>
      </c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9"/>
    </row>
    <row r="30" spans="1:105" s="21" customFormat="1" ht="12.75">
      <c r="A30" s="264"/>
      <c r="B30" s="245"/>
      <c r="C30" s="245"/>
      <c r="D30" s="245" t="s">
        <v>227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6"/>
      <c r="BB30" s="287">
        <v>0</v>
      </c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9"/>
      <c r="CB30" s="287">
        <v>0</v>
      </c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9"/>
    </row>
    <row r="31" spans="1:106" s="21" customFormat="1" ht="12.75">
      <c r="A31" s="258"/>
      <c r="B31" s="259"/>
      <c r="C31" s="259"/>
      <c r="D31" s="245" t="s">
        <v>228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6"/>
      <c r="BB31" s="287">
        <v>0</v>
      </c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9"/>
      <c r="CB31" s="287">
        <v>0</v>
      </c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9"/>
      <c r="DB31" s="23"/>
    </row>
    <row r="32" spans="1:105" s="21" customFormat="1" ht="12.75">
      <c r="A32" s="22"/>
      <c r="B32" s="245" t="s">
        <v>229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6"/>
      <c r="BB32" s="287">
        <v>36445</v>
      </c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9"/>
      <c r="CB32" s="287">
        <f>CB33+CB34</f>
        <v>36769</v>
      </c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9"/>
    </row>
    <row r="33" spans="1:105" s="21" customFormat="1" ht="12.75">
      <c r="A33" s="264"/>
      <c r="B33" s="245"/>
      <c r="C33" s="245"/>
      <c r="D33" s="245" t="s">
        <v>230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6"/>
      <c r="BB33" s="287">
        <v>6350</v>
      </c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9"/>
      <c r="CB33" s="287">
        <v>2008</v>
      </c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9"/>
    </row>
    <row r="34" spans="1:105" s="21" customFormat="1" ht="12.75">
      <c r="A34" s="258"/>
      <c r="B34" s="259"/>
      <c r="C34" s="259"/>
      <c r="D34" s="245" t="s">
        <v>231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6"/>
      <c r="BB34" s="287">
        <v>28677</v>
      </c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9"/>
      <c r="CB34" s="287">
        <v>34761</v>
      </c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9"/>
    </row>
    <row r="35" spans="1:105" s="24" customFormat="1" ht="12.75">
      <c r="A35" s="290"/>
      <c r="B35" s="291"/>
      <c r="C35" s="291"/>
      <c r="D35" s="291"/>
      <c r="E35" s="291"/>
      <c r="F35" s="291" t="s">
        <v>232</v>
      </c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2"/>
      <c r="BB35" s="293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5"/>
      <c r="CB35" s="293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5"/>
    </row>
    <row r="36" spans="1:105" s="24" customFormat="1" ht="12.75">
      <c r="A36" s="290"/>
      <c r="B36" s="291"/>
      <c r="C36" s="291"/>
      <c r="D36" s="291"/>
      <c r="E36" s="291"/>
      <c r="F36" s="291" t="s">
        <v>233</v>
      </c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2"/>
      <c r="BB36" s="293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5"/>
      <c r="CB36" s="293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5"/>
    </row>
    <row r="37" spans="1:105" s="24" customFormat="1" ht="12.75">
      <c r="A37" s="296"/>
      <c r="B37" s="297"/>
      <c r="C37" s="297"/>
      <c r="D37" s="297"/>
      <c r="E37" s="297"/>
      <c r="F37" s="291" t="s">
        <v>234</v>
      </c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2"/>
      <c r="BB37" s="293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5"/>
      <c r="CB37" s="293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5"/>
    </row>
    <row r="38" spans="1:105" s="21" customFormat="1" ht="12.75">
      <c r="A38" s="22"/>
      <c r="B38" s="245" t="s">
        <v>235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6"/>
      <c r="BB38" s="287">
        <v>434</v>
      </c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9"/>
      <c r="CB38" s="287">
        <v>39</v>
      </c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9"/>
    </row>
    <row r="39" spans="1:105" ht="13.5">
      <c r="A39" s="284" t="s">
        <v>236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6"/>
    </row>
    <row r="40" spans="1:105" s="21" customFormat="1" ht="25.5" customHeight="1">
      <c r="A40" s="20"/>
      <c r="B40" s="265" t="s">
        <v>237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6"/>
      <c r="BB40" s="287">
        <f>8!BG46*1000</f>
        <v>1438.738</v>
      </c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9"/>
      <c r="CB40" s="267" t="s">
        <v>238</v>
      </c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83"/>
    </row>
    <row r="41" spans="1:105" s="21" customFormat="1" ht="12.75">
      <c r="A41" s="20"/>
      <c r="B41" s="245" t="s">
        <v>239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6"/>
      <c r="BB41" s="287">
        <v>1438.738</v>
      </c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9"/>
      <c r="CB41" s="271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3"/>
    </row>
    <row r="42" spans="1:105" s="21" customFormat="1" ht="12.75">
      <c r="A42" s="20"/>
      <c r="B42" s="245" t="s">
        <v>240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6"/>
      <c r="BB42" s="277">
        <v>1</v>
      </c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9"/>
      <c r="CB42" s="271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3"/>
    </row>
    <row r="43" spans="1:105" s="21" customFormat="1" ht="12.75">
      <c r="A43" s="22"/>
      <c r="B43" s="245" t="s">
        <v>241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6"/>
      <c r="BB43" s="280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2"/>
      <c r="CB43" s="274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6"/>
    </row>
    <row r="44" spans="1:105" ht="13.5">
      <c r="A44" s="284" t="s">
        <v>242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6"/>
    </row>
    <row r="45" spans="1:105" s="21" customFormat="1" ht="12.75">
      <c r="A45" s="22"/>
      <c r="B45" s="245" t="s">
        <v>243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6"/>
      <c r="BB45" s="267" t="s">
        <v>244</v>
      </c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70"/>
    </row>
    <row r="46" spans="1:105" s="21" customFormat="1" ht="12.75">
      <c r="A46" s="264"/>
      <c r="B46" s="245"/>
      <c r="C46" s="245"/>
      <c r="D46" s="245" t="s">
        <v>245</v>
      </c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6"/>
      <c r="BB46" s="271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3"/>
    </row>
    <row r="47" spans="1:105" s="21" customFormat="1" ht="12.75">
      <c r="A47" s="258"/>
      <c r="B47" s="259"/>
      <c r="C47" s="259"/>
      <c r="D47" s="245" t="s">
        <v>246</v>
      </c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6"/>
      <c r="BB47" s="271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3"/>
    </row>
    <row r="48" spans="1:105" s="21" customFormat="1" ht="12.75">
      <c r="A48" s="25"/>
      <c r="B48" s="245" t="s">
        <v>247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6"/>
      <c r="BB48" s="274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6"/>
    </row>
    <row r="49" spans="3:5" s="4" customFormat="1" ht="15" customHeight="1">
      <c r="C49" s="244" t="s">
        <v>199</v>
      </c>
      <c r="D49" s="244"/>
      <c r="E49" s="4" t="s">
        <v>248</v>
      </c>
    </row>
    <row r="52" spans="5:98" ht="20.25">
      <c r="E52" s="120" t="s">
        <v>93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X52" s="120" t="s">
        <v>94</v>
      </c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</row>
  </sheetData>
  <sheetProtection/>
  <mergeCells count="126">
    <mergeCell ref="E52:BH52"/>
    <mergeCell ref="BX52:CT52"/>
    <mergeCell ref="B19:BA19"/>
    <mergeCell ref="BB28:CA28"/>
    <mergeCell ref="CB28:DA28"/>
    <mergeCell ref="A28:C28"/>
    <mergeCell ref="D28:BA28"/>
    <mergeCell ref="A20:C20"/>
    <mergeCell ref="D20:BA20"/>
    <mergeCell ref="B22:BA22"/>
    <mergeCell ref="B23:BA23"/>
    <mergeCell ref="BB21:CA21"/>
    <mergeCell ref="CB15:DA15"/>
    <mergeCell ref="A15:BA15"/>
    <mergeCell ref="BB17:CA17"/>
    <mergeCell ref="CB17:DA17"/>
    <mergeCell ref="BB18:CA18"/>
    <mergeCell ref="CB18:DA18"/>
    <mergeCell ref="BB19:CA19"/>
    <mergeCell ref="CB19:DA19"/>
    <mergeCell ref="BB25:CA25"/>
    <mergeCell ref="CB25:DA25"/>
    <mergeCell ref="A21:C21"/>
    <mergeCell ref="D21:BA21"/>
    <mergeCell ref="BB22:CA22"/>
    <mergeCell ref="CB22:DA22"/>
    <mergeCell ref="BB23:CA23"/>
    <mergeCell ref="CB23:DA23"/>
    <mergeCell ref="CB21:DA21"/>
    <mergeCell ref="BB24:CA24"/>
    <mergeCell ref="CB24:DA24"/>
    <mergeCell ref="BB20:CA20"/>
    <mergeCell ref="CB20:DA20"/>
    <mergeCell ref="BB29:CA29"/>
    <mergeCell ref="CB29:DA29"/>
    <mergeCell ref="A29:C29"/>
    <mergeCell ref="D29:BA29"/>
    <mergeCell ref="A25:C25"/>
    <mergeCell ref="D25:BA25"/>
    <mergeCell ref="A24:C24"/>
    <mergeCell ref="D24:BA24"/>
    <mergeCell ref="BB27:CA27"/>
    <mergeCell ref="CB27:DA27"/>
    <mergeCell ref="B26:BA26"/>
    <mergeCell ref="B27:BA27"/>
    <mergeCell ref="BB26:CA26"/>
    <mergeCell ref="CB26:DA26"/>
    <mergeCell ref="CB30:DA30"/>
    <mergeCell ref="A30:C30"/>
    <mergeCell ref="D30:BA30"/>
    <mergeCell ref="CB32:DA32"/>
    <mergeCell ref="BB31:CA31"/>
    <mergeCell ref="BB32:CA32"/>
    <mergeCell ref="CB31:DA31"/>
    <mergeCell ref="A31:C31"/>
    <mergeCell ref="D31:BA31"/>
    <mergeCell ref="BB30:CA30"/>
    <mergeCell ref="A33:C33"/>
    <mergeCell ref="D33:BA33"/>
    <mergeCell ref="BB36:CA36"/>
    <mergeCell ref="CB36:DA36"/>
    <mergeCell ref="A36:E36"/>
    <mergeCell ref="F36:BA36"/>
    <mergeCell ref="BB35:CA35"/>
    <mergeCell ref="CB35:DA35"/>
    <mergeCell ref="BB33:CA33"/>
    <mergeCell ref="CB33:DA33"/>
    <mergeCell ref="CB37:DA37"/>
    <mergeCell ref="A37:E37"/>
    <mergeCell ref="F37:BA37"/>
    <mergeCell ref="BB34:CA34"/>
    <mergeCell ref="CB34:DA34"/>
    <mergeCell ref="A44:DA44"/>
    <mergeCell ref="BB40:CA40"/>
    <mergeCell ref="BB41:CA41"/>
    <mergeCell ref="A35:E35"/>
    <mergeCell ref="F35:BA35"/>
    <mergeCell ref="BB38:CA38"/>
    <mergeCell ref="CB38:DA38"/>
    <mergeCell ref="A39:DA39"/>
    <mergeCell ref="B38:BA38"/>
    <mergeCell ref="BB37:CA37"/>
    <mergeCell ref="D46:BA46"/>
    <mergeCell ref="B40:BA40"/>
    <mergeCell ref="B41:BA41"/>
    <mergeCell ref="BB45:DA48"/>
    <mergeCell ref="B45:BA45"/>
    <mergeCell ref="B42:BA42"/>
    <mergeCell ref="B43:BA43"/>
    <mergeCell ref="BB42:CA42"/>
    <mergeCell ref="BB43:CA43"/>
    <mergeCell ref="CB40:DA43"/>
    <mergeCell ref="CC1:DA1"/>
    <mergeCell ref="A3:DA3"/>
    <mergeCell ref="BE5:BH5"/>
    <mergeCell ref="BS5:BY5"/>
    <mergeCell ref="CF5:CL5"/>
    <mergeCell ref="K5:BD5"/>
    <mergeCell ref="BI5:BR5"/>
    <mergeCell ref="BZ5:CE5"/>
    <mergeCell ref="B17:BA17"/>
    <mergeCell ref="B18:BA18"/>
    <mergeCell ref="BZ7:DA7"/>
    <mergeCell ref="A16:BA16"/>
    <mergeCell ref="BB16:CA16"/>
    <mergeCell ref="CB16:DA16"/>
    <mergeCell ref="BB15:CA15"/>
    <mergeCell ref="A14:BA14"/>
    <mergeCell ref="BB14:CA14"/>
    <mergeCell ref="BZ9:DA9"/>
    <mergeCell ref="BZ10:DA10"/>
    <mergeCell ref="BY11:BZ11"/>
    <mergeCell ref="CA11:CC11"/>
    <mergeCell ref="CD11:CE11"/>
    <mergeCell ref="CF11:CO11"/>
    <mergeCell ref="CP11:CR11"/>
    <mergeCell ref="CS11:CU11"/>
    <mergeCell ref="CB14:DA14"/>
    <mergeCell ref="C49:D49"/>
    <mergeCell ref="B48:BA48"/>
    <mergeCell ref="A34:C34"/>
    <mergeCell ref="D34:BA34"/>
    <mergeCell ref="B32:BA32"/>
    <mergeCell ref="A47:C47"/>
    <mergeCell ref="D47:BA47"/>
    <mergeCell ref="A46:C46"/>
  </mergeCells>
  <printOptions horizontalCentered="1"/>
  <pageMargins left="0.7874015748031497" right="0.511811023622047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arzubova_m</cp:lastModifiedBy>
  <cp:lastPrinted>2016-08-16T10:32:02Z</cp:lastPrinted>
  <dcterms:modified xsi:type="dcterms:W3CDTF">2016-08-17T13:47:45Z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